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<sst xmlns="http://schemas.openxmlformats.org/spreadsheetml/2006/main" count="1513" uniqueCount="318">
  <si>
    <t>Oddz. Klin. Chir. Urazowo-Ortoped.Ch.Ogóln.(Chirurgia Ręki)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</si>
  <si>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</si>
  <si>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</si>
  <si>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</si>
  <si>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</si>
  <si>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</si>
  <si>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</si>
  <si>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</si>
  <si>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</si>
  <si>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</si>
  <si>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</si>
  <si>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</si>
  <si>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</si>
  <si>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</si>
  <si>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</si>
  <si>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</si>
  <si>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</si>
  <si>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</si>
  <si>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</si>
  <si>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</si>
  <si>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</si>
  <si>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</si>
  <si>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</si>
  <si>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</si>
  <si>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</si>
  <si>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</si>
  <si>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</si>
  <si>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</si>
  <si>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</si>
  <si>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</si>
  <si>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</si>
  <si>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</si>
  <si>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</si>
  <si>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</si>
  <si>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</si>
  <si>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</si>
  <si>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</si>
  <si>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</si>
  <si>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</si>
  <si>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</si>
  <si>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</si>
  <si>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</si>
  <si>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</si>
  <si>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</si>
  <si>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</si>
  <si>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</si>
  <si>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</si>
  <si>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</si>
  <si>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</si>
  <si>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</si>
  <si>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</si>
  <si>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</si>
  <si>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</si>
  <si>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</si>
  <si>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</si>
  <si>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</si>
  <si>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</si>
  <si>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</si>
  <si>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</si>
  <si>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</si>
  <si>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</si>
  <si>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</si>
  <si>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</si>
  <si>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</si>
  <si>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</si>
  <si>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</si>
  <si>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</si>
  <si>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</si>
  <si>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</si>
  <si>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</si>
  <si>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</si>
  <si>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</si>
  <si>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</si>
  <si>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</si>
  <si>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</si>
  <si>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</si>
  <si>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</si>
  <si>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</si>
  <si>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</si>
  <si>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</si>
  <si>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</si>
  <si>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</si>
  <si>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</si>
  <si>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</si>
  <si>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</si>
  <si>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</si>
  <si>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</si>
  <si>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</si>
  <si>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</si>
  <si>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</si>
  <si>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</si>
  <si>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</si>
  <si>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</si>
  <si>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</si>
  <si>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</si>
  <si>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</si>
  <si>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</si>
  <si>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</si>
  <si>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</si>
  <si>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</si>
  <si>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</si>
  <si>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</si>
  <si>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</si>
  <si>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</si>
  <si>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</si>
  <si>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</si>
  <si>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</si>
  <si>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Szyna do mobilizacji stawu skokowego ruchem ciągłym biernym</t>
  </si>
  <si>
    <t>Urządzenie fizjoterapeutyczne do mobilizacji, propriocepcji i koordynacji kończyny dolnej</t>
  </si>
  <si>
    <t>Zmotoryzowana szyna do mobilizacji biodra i kolana ruchem ciągłym biernym</t>
  </si>
  <si>
    <t>Rotor do pasywnej i dynamicznej terapii kończyn dolnych</t>
  </si>
  <si>
    <t xml:space="preserve">Rotor do pasywnej i dynamicznej terapii kończyn górnych </t>
  </si>
  <si>
    <t>Rotor elektryczny do ćwiczeń biernych i czynnych kończyn dolnych w pozycji leżącej</t>
  </si>
  <si>
    <t>Rotor elektryczny do ćwiczeń biernych i czynnych kończyny dolnej i górnej</t>
  </si>
  <si>
    <t>ZAMAWIAJĄCY</t>
  </si>
  <si>
    <t>WYKONAWCA</t>
  </si>
  <si>
    <t>Rok Prod.</t>
  </si>
  <si>
    <t>Planowana data pierwszego przeglądu</t>
  </si>
  <si>
    <t>PAKIET 1 - Wykonanie przeglądów okresowych ssaków różnych producentów w okresie 36 miesięcy</t>
  </si>
  <si>
    <t>PAKIET 2 - Wykonanie przeglądów okresowych kapnografu prod. Nellcor w okresie 36 miesięcy</t>
  </si>
  <si>
    <t>PAKIET 3 - Wykonanie przeglądów okresowych szyn do ćwiczeń prod. ORMED  w okresie 36 miesięcy</t>
  </si>
  <si>
    <t>PAKIET 4 - Wykonanie przeglądów okresowych szyn do ćwieczeń różnych producentów w okresie 36 miesięcy</t>
  </si>
  <si>
    <t>PAKIET 5 - Wykonanie przeglądów okresowych rotorów do ćwieczeń prod. TZORA w okresie 36 miesięcy</t>
  </si>
  <si>
    <t>PAKIET 6 - Wykonanie przeglądów okresowych rotorów do ćwiczeń prod. Tech-Med. W okresie 36 miersięcy</t>
  </si>
  <si>
    <t>PAKIET 7 - Wykonanie przeglądów okresowych rotorów do ćwiczeń prod.  RECK-Technik w okresie 36 miesięcy</t>
  </si>
  <si>
    <t>PAKIET 8 - Wykonanie przeglądów okresowych aparatów do magnetoterapii prod. Alpha Electronics w okresie 36 miesięcy</t>
  </si>
  <si>
    <t>PAKIET 9 - Wykonanie przeglądow okresowych aparatów do laseroterapii i magnetoterapii prod. BTL w okresie 36 miesięcy</t>
  </si>
  <si>
    <t>ZAMAWIAJ ĄCY</t>
  </si>
  <si>
    <t>PAKIET 10 -  Wykonanie przeglądów okresowych urządzeń do galwanizacji w okresie 36 miecięcy</t>
  </si>
  <si>
    <t>PAKIET 11 - Wykonanie przeglądów okresowych lamp operacyjnych z systemem obrazowania prod. Dr. Mach w okresie 36 miesięcy</t>
  </si>
  <si>
    <t>Olympus</t>
  </si>
  <si>
    <t>Lampa operacyjna</t>
  </si>
  <si>
    <t>Monitor</t>
  </si>
  <si>
    <t>MACH M5DF/H</t>
  </si>
  <si>
    <t>07/0095+07/0004</t>
  </si>
  <si>
    <t>OEV-191H LCD N2032460</t>
  </si>
  <si>
    <t>Kamera</t>
  </si>
  <si>
    <t>Sterownik</t>
  </si>
  <si>
    <t>M5</t>
  </si>
  <si>
    <t>07/0038</t>
  </si>
  <si>
    <t>07/0101+07/0093</t>
  </si>
  <si>
    <t>07/0044</t>
  </si>
  <si>
    <t>National Display Systems</t>
  </si>
  <si>
    <t>07/0094+07/0009</t>
  </si>
  <si>
    <t>EndoVue 19 LCD SC -SX19-A1203</t>
  </si>
  <si>
    <t>07-89062</t>
  </si>
  <si>
    <t>07/0096+07/0100</t>
  </si>
  <si>
    <t>07-89092</t>
  </si>
  <si>
    <t>07/0008+07/0099</t>
  </si>
  <si>
    <t>07-89068</t>
  </si>
  <si>
    <t>07/0040</t>
  </si>
  <si>
    <t>07/0007+07/0097</t>
  </si>
  <si>
    <t>07-89064</t>
  </si>
  <si>
    <t>07/0043</t>
  </si>
  <si>
    <t>07/0003+07/0098</t>
  </si>
  <si>
    <t>07-89061</t>
  </si>
  <si>
    <t>PAKIET 12 - Wykonanie przeglądów okresowych lamp operacyjnych prod. Drager w okresie 36 miesięcy</t>
  </si>
  <si>
    <t>Zestaw lamp operacyjnych z systemem obrazowania</t>
  </si>
  <si>
    <t>Polaris</t>
  </si>
  <si>
    <t>100000006031+100000008760+1103056.011</t>
  </si>
  <si>
    <t>12 mies.</t>
  </si>
  <si>
    <t>Kamera centralna</t>
  </si>
  <si>
    <t>Polaris PAL</t>
  </si>
  <si>
    <t>1103056.011 PAL</t>
  </si>
  <si>
    <t>Ramię spreżynujące lampy</t>
  </si>
  <si>
    <t>Polaris 500</t>
  </si>
  <si>
    <t>Polaris 700</t>
  </si>
  <si>
    <t>01112410113014</t>
  </si>
  <si>
    <t>01114010119283</t>
  </si>
  <si>
    <t>Zalilacz</t>
  </si>
  <si>
    <t>Polaris 500/700</t>
  </si>
  <si>
    <t>ASBL 0117</t>
  </si>
  <si>
    <t>TruVidia</t>
  </si>
  <si>
    <t>Blok Op. Ortopedii Traum. Narząd. Ru</t>
  </si>
  <si>
    <t>LK iLED3</t>
  </si>
  <si>
    <t xml:space="preserve">LK iLED5 </t>
  </si>
  <si>
    <t>LK iLED5K</t>
  </si>
  <si>
    <t xml:space="preserve">Monitor </t>
  </si>
  <si>
    <t>Color Display 941MP SyneMaster</t>
  </si>
  <si>
    <t>D019HSHP154521U</t>
  </si>
  <si>
    <t>TruVidia (1395997)</t>
  </si>
  <si>
    <t>Blok Op. Chirurgii Naczyniowej</t>
  </si>
  <si>
    <t>D019HSHP144514Y</t>
  </si>
  <si>
    <t>Ramię kamery</t>
  </si>
  <si>
    <t>TruVidia (1396027)</t>
  </si>
  <si>
    <t>D019HSHP154500Z</t>
  </si>
  <si>
    <t xml:space="preserve">brak </t>
  </si>
  <si>
    <t>D013HSHP154493B</t>
  </si>
  <si>
    <t>Blok Op. Kardiochirurgii</t>
  </si>
  <si>
    <t>D019HSHP154506N</t>
  </si>
  <si>
    <t>D019HSHP154516P</t>
  </si>
  <si>
    <t>TruVida</t>
  </si>
  <si>
    <t>100376347+100445275+100374309+0701006</t>
  </si>
  <si>
    <t>Trumpf</t>
  </si>
  <si>
    <t>100357487+100365654+0703018+0701004+0704005</t>
  </si>
  <si>
    <t xml:space="preserve">Zestaw lamp operacyjnych z systemem obrazowania </t>
  </si>
  <si>
    <t>12 miees.</t>
  </si>
  <si>
    <t>100357486+100369156+0703004+brak+0704001</t>
  </si>
  <si>
    <t>100376348+100445263+100378728+0701018</t>
  </si>
  <si>
    <t>100369158+100369167+0703010+0701008+0704009</t>
  </si>
  <si>
    <t>Helion S0376249</t>
  </si>
  <si>
    <t>100000000015459</t>
  </si>
  <si>
    <t>Pracownia Hemodynamiki</t>
  </si>
  <si>
    <t>100369164+100270166+0703005+0703002+0704000</t>
  </si>
  <si>
    <t>PAKIET 14 - Wykonanie przeglądów okresowych stołów operacyjnych prod. Brumaba w okresie 36 miesięcy</t>
  </si>
  <si>
    <t>PAKIET 15 - Wykonanie przeglądów okresowych stołów operacyjnych prod. Famed w okresie 36 miesięcy</t>
  </si>
  <si>
    <t>PAKIET 16 - Wykonanie przeglądów okresowych stołów operacyjnych prod. Trident Med. w okresie 36 miesięcy</t>
  </si>
  <si>
    <t>Zestaw do badań urodynamicznych</t>
  </si>
  <si>
    <t>Ellipse Chair AUDACT Pro</t>
  </si>
  <si>
    <t>Oddz. Klin. Nefrologi Pediatr.</t>
  </si>
  <si>
    <t>Andromeda</t>
  </si>
  <si>
    <t>Centrala</t>
  </si>
  <si>
    <t>Drukarka laserowa kolorowa</t>
  </si>
  <si>
    <t>fotel uroginekologiczny</t>
  </si>
  <si>
    <t>Monuitor</t>
  </si>
  <si>
    <t>przedwzmacniacz EMG</t>
  </si>
  <si>
    <t>przetwornik do pomiaru przepłyru ewkowego</t>
  </si>
  <si>
    <t>przetwornik objętości</t>
  </si>
  <si>
    <t>wózek</t>
  </si>
  <si>
    <t>zasilacz</t>
  </si>
  <si>
    <t>Ellipse Colour Display</t>
  </si>
  <si>
    <t>Brother HL-3040CN</t>
  </si>
  <si>
    <t>Medi-Matic 115.715</t>
  </si>
  <si>
    <t>EX 2220</t>
  </si>
  <si>
    <t>brak</t>
  </si>
  <si>
    <t>Conus</t>
  </si>
  <si>
    <t>Audact Station trolley II</t>
  </si>
  <si>
    <t>izolowany</t>
  </si>
  <si>
    <t>C0J314673</t>
  </si>
  <si>
    <t>115715-169614-11-01797</t>
  </si>
  <si>
    <t>CL22H9XB00604</t>
  </si>
  <si>
    <t>CL22H9XB00617</t>
  </si>
  <si>
    <t>PAKIET 18 - Wykonanie przeglądów okresowych zestawu do badań urodynamicznych prod. Andromeda w okresie 36 miresięcy</t>
  </si>
  <si>
    <t>Urządzenie do automatycznego ucisku klatki piersiowej</t>
  </si>
  <si>
    <t>PAKIET 20 - Wykonanie przeglądów okresowych aparatów do fakoemulsyfikacji oraz witrektomii prod DORC w okresie 36 miesięcy</t>
  </si>
  <si>
    <t>Nazwa urządzenia</t>
  </si>
  <si>
    <t>Typ</t>
  </si>
  <si>
    <t>Aparat do fakoemulsyfikacji</t>
  </si>
  <si>
    <t>Infiniti Vision System</t>
  </si>
  <si>
    <t>Laser okulistyczny</t>
  </si>
  <si>
    <t>PurePoint</t>
  </si>
  <si>
    <t>Nr Seryjny</t>
  </si>
  <si>
    <t>Jednostka Organizacyjna</t>
  </si>
  <si>
    <t>Częstotliwość. przeglądu</t>
  </si>
  <si>
    <t xml:space="preserve">Planowana data pierwszego przeglądu </t>
  </si>
  <si>
    <t>0802331001X + 7307X + 9501X + 8710X1 + 1105X</t>
  </si>
  <si>
    <t>Sala Op.Przykliniczna Okulistyczna</t>
  </si>
  <si>
    <t>1203028101X</t>
  </si>
  <si>
    <t>PAKIET 21 - Wykonanie przeglądów okresowych aparatu do fakoemulsyfikacji oraz lasera okulistycznego prod. Alcon w okresie 36 miesięcy</t>
  </si>
  <si>
    <t>Producent</t>
  </si>
  <si>
    <t>Częst. przeglądu</t>
  </si>
  <si>
    <t>Pompa do żywienia dojelitowego (Enteral Feeding Pump)</t>
  </si>
  <si>
    <t xml:space="preserve"> Applix smart D</t>
  </si>
  <si>
    <t>Oddz. Klin. Anestezjologii i Inten. Terapii</t>
  </si>
  <si>
    <t>Fresenius Kabi</t>
  </si>
  <si>
    <t>12 mies</t>
  </si>
  <si>
    <t>Oddz. Klin. Otolaryng. z P-oddz. Ot.Dziec.</t>
  </si>
  <si>
    <t>Oddz. Klin. Chirurgii Szczękowo-Twarzowej</t>
  </si>
  <si>
    <t>Applix smart D</t>
  </si>
  <si>
    <t>Oddz. Klin. Chorób Wewn.i Zawodowych</t>
  </si>
  <si>
    <t>Oddz. Klin. Neurochirurgiczny z P-oddz.IOM</t>
  </si>
  <si>
    <t>Oddz. Klin. Anestezjologii i Inten.Terapii</t>
  </si>
  <si>
    <t>19833770 (zasilacz 215571064)</t>
  </si>
  <si>
    <t>Oddz. Klin. Chir.Ogólnej, Ch.Onkologicznej</t>
  </si>
  <si>
    <t>Oddz. Klin.Gastroent.Hepatologii, Ch.Metab</t>
  </si>
  <si>
    <t>PAKIET 22 - Wykonanie przeglądów okresowych pomp do żywienia dojelitowego prod. Fresenius Kabi w okresie 36 miesięcy</t>
  </si>
  <si>
    <t xml:space="preserve">Pompa do żywienia </t>
  </si>
  <si>
    <t>Flocare 800</t>
  </si>
  <si>
    <t>99-04176</t>
  </si>
  <si>
    <t>Oddz.Klin. Chir. Naczyniowej , Chir. Ogólnej</t>
  </si>
  <si>
    <t>Ovita Nurtica</t>
  </si>
  <si>
    <t>PAKIET 24 - Wykonanie przeglądów okresowych lamp medycznych prod. BTL w okresie 36 miesięcy</t>
  </si>
  <si>
    <t>PAKIET 25 - Wykonanie przeglądów okresowych lamp medycznych prod. Famed w okresie 36 miesięcy</t>
  </si>
  <si>
    <t>Lampa zabiegowa statywowa z zasilaczem akumulatorowym</t>
  </si>
  <si>
    <t>PAKIET 26 - Wykonanie przeglądów okresowych amp medycznych róznych producentów w okresie 36 miesięcy</t>
  </si>
  <si>
    <t>PAKIET 27 - Wykonanie przegląów okresowych lamp szczelinowych różnych producetów w okresie 36 miesięcy</t>
  </si>
  <si>
    <t>PAKIET 28 - Wykonanie przegląów okresowych lamp szczelinowych prod. Haag-Streit w okresie 36 miesięcy</t>
  </si>
  <si>
    <t>PAKIET 29 - Wykonanie przegląów okresowych lamp szczelinowych prod. Shin Nippon w okresie 36 miesięcy</t>
  </si>
  <si>
    <t>PAKIET 30 - Wykonanie przegląów okresowych lamp szczelinowych prod. Nikon w okresie 36 miesięcy</t>
  </si>
  <si>
    <t>ZAMAWIAJĄY</t>
  </si>
  <si>
    <t>PAKIET 31 - Wykonanie przegląów okresowych lamp szczelinowych prod. NETZ w okresie 36 miesięcy</t>
  </si>
  <si>
    <t>PAKIET 32 - Wykonanie przegląów okresowych lamp szczelinowych prod. Optical w okresie 36 miesięcy</t>
  </si>
  <si>
    <t>PAKIET 33- Wykonanie przegląów okresowych aparatów EEG prod. Elmiko w okresie 36 miesięcy</t>
  </si>
  <si>
    <t>PAKIET 35- Wykonanie przegląów okresowych zestawu do badań izokinetycznych prod. Biodex Medical w okresie 36 miesięcy</t>
  </si>
  <si>
    <t>PAKIET 36- Wykonanie przegląów okresowych  wstrzykiwaczy kontrastu prod. Liebel w okresie 36 miesięcy</t>
  </si>
  <si>
    <t>PAKIET 37- Wykonanie przegląów okresowych  wstrzykiwaczy kontrastu prod. Bracco w okresie 36 miesięcy</t>
  </si>
  <si>
    <t>30 dni od daty zawarcia umowy</t>
  </si>
  <si>
    <t>PAKIET 13 - Wykonanie przeglądów okresowych lamp operacyjnych prod. Trumpf w okresie 36 miesięcy</t>
  </si>
  <si>
    <t>PAKIET 17 - Wykonanie przeglądów okresowych aparatu do usuwania wydzieliny z oskrzeli prod. Respironics w okresie 36 miesięcy</t>
  </si>
  <si>
    <t>PAKIET 19 - Wykonanie przeglądów okresowych urządzeń do automatycznego ucisku klatki piersiowej różnych producentów w okresie 36 miesięcy</t>
  </si>
  <si>
    <t>PAKIET 23 - Wykonanie przeglądów okresowych pomp do żywienia prod. Ovita Nurtica w okresie 36 miesięcy</t>
  </si>
  <si>
    <t>PAKIET 34- Wykonanie przegląów okresowych aparatów EEG prod. Nicolet Biomedica w okresie 36 miesięcy</t>
  </si>
  <si>
    <t>PAKIET 38- Wykonanie przegląów okresowych  wstrzykiwaczy kontrastu prod. Medrad w okresie 36 miesięcy</t>
  </si>
  <si>
    <t>PAKIET 39- Wykonanie przegląów okresowych  foteli do dializ prod.  Digiterm Medical w okresie 36 miesięcy</t>
  </si>
  <si>
    <t>PAKIET 40- Wykonanie przegląów okresowych  foteli do dializ prod. Hemotion w okresie 36 miesięcy</t>
  </si>
  <si>
    <t>PAKIET 41- Wykonanie przegląów okresowych  foteli do tranfuzji i chemioterapii prod. Gardhen Bilance w okresie 36 miesięcy</t>
  </si>
  <si>
    <t>Alcon</t>
  </si>
  <si>
    <t>Platforma balansowa</t>
  </si>
  <si>
    <t>Balance System SD</t>
  </si>
  <si>
    <t>Uniwersyteckie Centrum Rehabilitacji</t>
  </si>
  <si>
    <t xml:space="preserve">Bieżnia do nauki chodu </t>
  </si>
  <si>
    <t>GT2</t>
  </si>
  <si>
    <t>PAKIET 42- Wykonanie przegląów okresowych  lasera do stymulacji Neurolas w okresie 36 miesięcy</t>
  </si>
  <si>
    <t>PAKIET 44- Wykonanie przegląów okresowych  laserów okulistycznych prod. ARC Laser w okresie 36 miesięcy</t>
  </si>
  <si>
    <t>PAKIET 45- Wykonanie przegląów okresowych  lasera okulistycznego IRIDEX w okresie 36 miesięcy</t>
  </si>
  <si>
    <t>PAKIET 46- Wykonanie przegląów okresowych  lasera okulistycznego SLT Solutis w okresie 36 miesięcy</t>
  </si>
  <si>
    <t>PAKIET 47- Wykonanie przegląów okresowych  lasera okulistycznego YAG |Switch w okresie 36 miesięcy</t>
  </si>
  <si>
    <t>PAKIET 48- Wykonanie przegląów okresowych  lasera terapeutycznego LT1000 w okresie 36 miesięcy</t>
  </si>
  <si>
    <t>PAKIET 49- Wykonanie przegląów okresowych  lasera urologicznego OmniPulse w okresie 36 miesięcy</t>
  </si>
  <si>
    <t>PAKIET 50- Wykonanie przegląów okresowych  lasera zielonego prod. Wolf w okresie 36 miesięcy</t>
  </si>
  <si>
    <t>PAKIET 43- Wykonanie przegląów okresowych  lasera holomowego w okresie 36 miesięcy</t>
  </si>
  <si>
    <t>Oddział Intensywnej Terapii Dziecięcej (Przylądek Nadziei)</t>
  </si>
  <si>
    <t>PAKIET 51- Wykonanie przegląów okresowych  pulsoksymetrów różnych producentów w okresie 36 miesięcy</t>
  </si>
  <si>
    <t>PAKIET 52- Wykonanie przegląów okresowych  pulsoksymetrów prod. Nellcor w okresie 36 miesięcy</t>
  </si>
  <si>
    <t>PAKIET 53- Wykonanie przegląów okresowych  pulsoksymetrów prod. Novametrix w okresie 36 miesięcy</t>
  </si>
  <si>
    <t>PAKIET 54- Wykonanie przegląów okresowych  pulsoksymetrów prod. Massimo w okresie 36 miesięcy</t>
  </si>
  <si>
    <t>PAKIET 55- Wykonanie przegląów okresowych  pulsoksymetrów prod. Covidien w okresie 36 miesięcy</t>
  </si>
  <si>
    <t>Załącznik 1a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</si>
</sst>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4" fontId="2" fillId="0" borderId="0" xfId="58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3"/>
  <sheetViews>
    <sheetView tabSelected="1" zoomScalePageLayoutView="0" workbookViewId="0" topLeftCell="A492">
      <selection activeCell="R451" sqref="R451"/>
    </sheetView>
  </sheetViews>
  <sheetFormatPr defaultColWidth="9.140625" defaultRowHeight="15"/>
  <cols>
    <col min="1" max="1" width="4.28125" style="0" customWidth="1"/>
    <col min="2" max="2" width="13.140625" style="0" customWidth="1"/>
    <col min="3" max="3" width="10.57421875" style="0" customWidth="1"/>
    <col min="4" max="4" width="9.00390625" style="0" customWidth="1"/>
    <col min="5" max="5" width="16.7109375" style="0" customWidth="1"/>
    <col min="6" max="6" width="5.421875" style="0" customWidth="1"/>
    <col min="7" max="7" width="10.28125" style="0" customWidth="1"/>
    <col min="8" max="8" width="8.7109375" style="0" customWidth="1"/>
    <col min="9" max="9" width="10.57421875" style="0" customWidth="1"/>
  </cols>
  <sheetData>
    <row r="1" spans="5:9" ht="27" customHeight="1">
      <c r="E1" s="73" t="s">
        <v>317</v>
      </c>
      <c r="F1" s="73"/>
      <c r="G1" s="73"/>
      <c r="H1" s="73"/>
      <c r="I1" s="73"/>
    </row>
    <row r="2" spans="1:9" ht="16.5" customHeight="1">
      <c r="A2" s="56" t="s">
        <v>118</v>
      </c>
      <c r="B2" s="56"/>
      <c r="C2" s="56"/>
      <c r="D2" s="56"/>
      <c r="E2" s="56"/>
      <c r="F2" s="56"/>
      <c r="G2" s="56"/>
      <c r="H2" s="56"/>
      <c r="I2" s="56"/>
    </row>
    <row r="3" spans="1:9" ht="54.75" customHeight="1">
      <c r="A3" s="1" t="s">
        <v>1</v>
      </c>
      <c r="B3" s="2" t="str">
        <f>"Nazwa urządzenia"</f>
        <v>Nazwa urządzenia</v>
      </c>
      <c r="C3" s="2" t="str">
        <f>"Typ"</f>
        <v>Typ</v>
      </c>
      <c r="D3" s="2" t="str">
        <f>"Nr Seryjny"</f>
        <v>Nr Seryjny</v>
      </c>
      <c r="E3" s="2" t="str">
        <f>"Jednostka Organizacyjna"</f>
        <v>Jednostka Organizacyjna</v>
      </c>
      <c r="F3" s="2" t="s">
        <v>116</v>
      </c>
      <c r="G3" s="2" t="str">
        <f>"Producent"</f>
        <v>Producent</v>
      </c>
      <c r="H3" s="2" t="str">
        <f>"Częst. przeglądu"</f>
        <v>Częst. przeglądu</v>
      </c>
      <c r="I3" s="2" t="s">
        <v>117</v>
      </c>
    </row>
    <row r="4" spans="1:9" ht="53.25" customHeight="1">
      <c r="A4" s="1" t="s">
        <v>2</v>
      </c>
      <c r="B4" s="2" t="str">
        <f>"Ssak"</f>
        <v>Ssak</v>
      </c>
      <c r="C4" s="2" t="str">
        <f>"jezdny Viktoria"</f>
        <v>jezdny Viktoria</v>
      </c>
      <c r="D4" s="2"/>
      <c r="E4" s="2" t="str">
        <f>"Oddz. Klin. Chir.Naczyniowej, Chir.Ogólnej"</f>
        <v>Oddz. Klin. Chir.Naczyniowej, Chir.Ogólnej</v>
      </c>
      <c r="F4" s="2"/>
      <c r="G4" s="2" t="str">
        <f>"Cheiron"</f>
        <v>Cheiron</v>
      </c>
      <c r="H4" s="2" t="str">
        <f aca="true" t="shared" si="0" ref="H4:H40">"12 mies."</f>
        <v>12 mies.</v>
      </c>
      <c r="I4" s="2" t="s">
        <v>286</v>
      </c>
    </row>
    <row r="5" spans="1:9" ht="59.25" customHeight="1">
      <c r="A5" s="1" t="s">
        <v>3</v>
      </c>
      <c r="B5" s="2" t="str">
        <f aca="true" t="shared" si="1" ref="B5:B16">"Ssak akumulatorowy "</f>
        <v>Ssak akumulatorowy </v>
      </c>
      <c r="C5" s="2" t="str">
        <f aca="true" t="shared" si="2" ref="C5:C16">"Mevacs M30-230/12V "</f>
        <v>Mevacs M30-230/12V </v>
      </c>
      <c r="D5" s="2" t="str">
        <f>"2611108"</f>
        <v>2611108</v>
      </c>
      <c r="E5" s="2" t="str">
        <f>"Oddz. Klin. Chorób Wewn.i Zawodowych    "</f>
        <v>Oddz. Klin. Chorób Wewn.i Zawodowych    </v>
      </c>
      <c r="F5" s="2">
        <v>2011</v>
      </c>
      <c r="G5" s="2" t="str">
        <f aca="true" t="shared" si="3" ref="G5:G16">"MEDIST"</f>
        <v>MEDIST</v>
      </c>
      <c r="H5" s="2" t="str">
        <f t="shared" si="0"/>
        <v>12 mies.</v>
      </c>
      <c r="I5" s="2" t="s">
        <v>286</v>
      </c>
    </row>
    <row r="6" spans="1:9" ht="58.5" customHeight="1">
      <c r="A6" s="1" t="s">
        <v>4</v>
      </c>
      <c r="B6" s="2" t="str">
        <f t="shared" si="1"/>
        <v>Ssak akumulatorowy </v>
      </c>
      <c r="C6" s="2" t="str">
        <f t="shared" si="2"/>
        <v>Mevacs M30-230/12V </v>
      </c>
      <c r="D6" s="2" t="str">
        <f>"2611105 "</f>
        <v>2611105 </v>
      </c>
      <c r="E6" s="2" t="str">
        <f>"Oddz. Klin. Kardiochirurgii"</f>
        <v>Oddz. Klin. Kardiochirurgii</v>
      </c>
      <c r="F6" s="2">
        <v>2011</v>
      </c>
      <c r="G6" s="2" t="str">
        <f t="shared" si="3"/>
        <v>MEDIST</v>
      </c>
      <c r="H6" s="2" t="str">
        <f t="shared" si="0"/>
        <v>12 mies.</v>
      </c>
      <c r="I6" s="2" t="s">
        <v>286</v>
      </c>
    </row>
    <row r="7" spans="1:9" ht="51">
      <c r="A7" s="1" t="s">
        <v>5</v>
      </c>
      <c r="B7" s="2" t="str">
        <f t="shared" si="1"/>
        <v>Ssak akumulatorowy </v>
      </c>
      <c r="C7" s="2" t="str">
        <f t="shared" si="2"/>
        <v>Mevacs M30-230/12V </v>
      </c>
      <c r="D7" s="2" t="str">
        <f>"2611109 "</f>
        <v>2611109 </v>
      </c>
      <c r="E7" s="2" t="str">
        <f>"Oddz. Klin. Kardiochirurgii"</f>
        <v>Oddz. Klin. Kardiochirurgii</v>
      </c>
      <c r="F7" s="2">
        <v>2011</v>
      </c>
      <c r="G7" s="2" t="str">
        <f t="shared" si="3"/>
        <v>MEDIST</v>
      </c>
      <c r="H7" s="2" t="str">
        <f t="shared" si="0"/>
        <v>12 mies.</v>
      </c>
      <c r="I7" s="2" t="s">
        <v>286</v>
      </c>
    </row>
    <row r="8" spans="1:9" ht="51">
      <c r="A8" s="1" t="s">
        <v>6</v>
      </c>
      <c r="B8" s="2" t="str">
        <f t="shared" si="1"/>
        <v>Ssak akumulatorowy </v>
      </c>
      <c r="C8" s="2" t="str">
        <f t="shared" si="2"/>
        <v>Mevacs M30-230/12V </v>
      </c>
      <c r="D8" s="2" t="str">
        <f>"2611112"</f>
        <v>2611112</v>
      </c>
      <c r="E8" s="2" t="str">
        <f>"Oddz. Klin. Kardiologiczny"</f>
        <v>Oddz. Klin. Kardiologiczny</v>
      </c>
      <c r="F8" s="2">
        <v>2011</v>
      </c>
      <c r="G8" s="2" t="str">
        <f t="shared" si="3"/>
        <v>MEDIST</v>
      </c>
      <c r="H8" s="2" t="str">
        <f t="shared" si="0"/>
        <v>12 mies.</v>
      </c>
      <c r="I8" s="2" t="s">
        <v>286</v>
      </c>
    </row>
    <row r="9" spans="1:9" ht="51">
      <c r="A9" s="1" t="s">
        <v>7</v>
      </c>
      <c r="B9" s="2" t="str">
        <f t="shared" si="1"/>
        <v>Ssak akumulatorowy </v>
      </c>
      <c r="C9" s="2" t="str">
        <f t="shared" si="2"/>
        <v>Mevacs M30-230/12V </v>
      </c>
      <c r="D9" s="2" t="str">
        <f>"2611110 "</f>
        <v>2611110 </v>
      </c>
      <c r="E9" s="2" t="str">
        <f>"Oddz. Klin. Kardiologiczny"</f>
        <v>Oddz. Klin. Kardiologiczny</v>
      </c>
      <c r="F9" s="2">
        <v>2011</v>
      </c>
      <c r="G9" s="2" t="str">
        <f t="shared" si="3"/>
        <v>MEDIST</v>
      </c>
      <c r="H9" s="2" t="str">
        <f t="shared" si="0"/>
        <v>12 mies.</v>
      </c>
      <c r="I9" s="2" t="s">
        <v>286</v>
      </c>
    </row>
    <row r="10" spans="1:9" ht="51">
      <c r="A10" s="1" t="s">
        <v>8</v>
      </c>
      <c r="B10" s="2" t="str">
        <f t="shared" si="1"/>
        <v>Ssak akumulatorowy </v>
      </c>
      <c r="C10" s="2" t="str">
        <f t="shared" si="2"/>
        <v>Mevacs M30-230/12V </v>
      </c>
      <c r="D10" s="2" t="str">
        <f>"2611107"</f>
        <v>2611107</v>
      </c>
      <c r="E10" s="2" t="str">
        <f>"Oddz. Klin. Nefrologi Pediatr."</f>
        <v>Oddz. Klin. Nefrologi Pediatr.</v>
      </c>
      <c r="F10" s="2">
        <v>2011</v>
      </c>
      <c r="G10" s="2" t="str">
        <f t="shared" si="3"/>
        <v>MEDIST</v>
      </c>
      <c r="H10" s="2" t="str">
        <f t="shared" si="0"/>
        <v>12 mies.</v>
      </c>
      <c r="I10" s="2" t="s">
        <v>286</v>
      </c>
    </row>
    <row r="11" spans="1:9" ht="51">
      <c r="A11" s="1" t="s">
        <v>9</v>
      </c>
      <c r="B11" s="2" t="str">
        <f t="shared" si="1"/>
        <v>Ssak akumulatorowy </v>
      </c>
      <c r="C11" s="2" t="str">
        <f t="shared" si="2"/>
        <v>Mevacs M30-230/12V </v>
      </c>
      <c r="D11" s="2" t="str">
        <f>"2611103 "</f>
        <v>2611103 </v>
      </c>
      <c r="E11" s="2" t="str">
        <f>"Oddz. Klin. Nefrologiczny"</f>
        <v>Oddz. Klin. Nefrologiczny</v>
      </c>
      <c r="F11" s="2">
        <v>2011</v>
      </c>
      <c r="G11" s="2" t="str">
        <f t="shared" si="3"/>
        <v>MEDIST</v>
      </c>
      <c r="H11" s="2" t="str">
        <f t="shared" si="0"/>
        <v>12 mies.</v>
      </c>
      <c r="I11" s="2" t="s">
        <v>286</v>
      </c>
    </row>
    <row r="12" spans="1:9" ht="51">
      <c r="A12" s="1" t="s">
        <v>10</v>
      </c>
      <c r="B12" s="2" t="str">
        <f t="shared" si="1"/>
        <v>Ssak akumulatorowy </v>
      </c>
      <c r="C12" s="2" t="str">
        <f t="shared" si="2"/>
        <v>Mevacs M30-230/12V </v>
      </c>
      <c r="D12" s="2" t="str">
        <f>"2611111 "</f>
        <v>2611111 </v>
      </c>
      <c r="E12" s="2" t="str">
        <f>"Oddz. Klin. Nefrologiczny"</f>
        <v>Oddz. Klin. Nefrologiczny</v>
      </c>
      <c r="F12" s="2">
        <v>2011</v>
      </c>
      <c r="G12" s="2" t="str">
        <f t="shared" si="3"/>
        <v>MEDIST</v>
      </c>
      <c r="H12" s="2" t="str">
        <f t="shared" si="0"/>
        <v>12 mies.</v>
      </c>
      <c r="I12" s="2" t="s">
        <v>286</v>
      </c>
    </row>
    <row r="13" spans="1:9" ht="51">
      <c r="A13" s="1" t="s">
        <v>11</v>
      </c>
      <c r="B13" s="2" t="str">
        <f t="shared" si="1"/>
        <v>Ssak akumulatorowy </v>
      </c>
      <c r="C13" s="2" t="str">
        <f t="shared" si="2"/>
        <v>Mevacs M30-230/12V </v>
      </c>
      <c r="D13" s="2" t="str">
        <f>"2611115 "</f>
        <v>2611115 </v>
      </c>
      <c r="E13" s="2" t="str">
        <f>"Oddz. Klin. Nefrologiczny"</f>
        <v>Oddz. Klin. Nefrologiczny</v>
      </c>
      <c r="F13" s="2">
        <v>2011</v>
      </c>
      <c r="G13" s="2" t="str">
        <f t="shared" si="3"/>
        <v>MEDIST</v>
      </c>
      <c r="H13" s="2" t="str">
        <f t="shared" si="0"/>
        <v>12 mies.</v>
      </c>
      <c r="I13" s="2" t="s">
        <v>286</v>
      </c>
    </row>
    <row r="14" spans="1:9" ht="51">
      <c r="A14" s="1" t="s">
        <v>12</v>
      </c>
      <c r="B14" s="2" t="str">
        <f t="shared" si="1"/>
        <v>Ssak akumulatorowy </v>
      </c>
      <c r="C14" s="2" t="str">
        <f t="shared" si="2"/>
        <v>Mevacs M30-230/12V </v>
      </c>
      <c r="D14" s="2" t="str">
        <f>"2611102"</f>
        <v>2611102</v>
      </c>
      <c r="E14" s="2" t="str">
        <f>"Oddz.Klin. Neonatologiczny z Oddz. ITN"</f>
        <v>Oddz.Klin. Neonatologiczny z Oddz. ITN</v>
      </c>
      <c r="F14" s="2"/>
      <c r="G14" s="2" t="str">
        <f t="shared" si="3"/>
        <v>MEDIST</v>
      </c>
      <c r="H14" s="2" t="str">
        <f t="shared" si="0"/>
        <v>12 mies.</v>
      </c>
      <c r="I14" s="2" t="s">
        <v>286</v>
      </c>
    </row>
    <row r="15" spans="1:9" ht="51">
      <c r="A15" s="1" t="s">
        <v>13</v>
      </c>
      <c r="B15" s="2" t="str">
        <f t="shared" si="1"/>
        <v>Ssak akumulatorowy </v>
      </c>
      <c r="C15" s="2" t="str">
        <f t="shared" si="2"/>
        <v>Mevacs M30-230/12V </v>
      </c>
      <c r="D15" s="2" t="str">
        <f>"2611114 "</f>
        <v>2611114 </v>
      </c>
      <c r="E15" s="2" t="str">
        <f>"Stacja Dializ"</f>
        <v>Stacja Dializ</v>
      </c>
      <c r="F15" s="2">
        <v>2011</v>
      </c>
      <c r="G15" s="2" t="str">
        <f t="shared" si="3"/>
        <v>MEDIST</v>
      </c>
      <c r="H15" s="2" t="str">
        <f t="shared" si="0"/>
        <v>12 mies.</v>
      </c>
      <c r="I15" s="2" t="s">
        <v>286</v>
      </c>
    </row>
    <row r="16" spans="1:9" ht="51">
      <c r="A16" s="1" t="s">
        <v>14</v>
      </c>
      <c r="B16" s="2" t="str">
        <f t="shared" si="1"/>
        <v>Ssak akumulatorowy </v>
      </c>
      <c r="C16" s="2" t="str">
        <f t="shared" si="2"/>
        <v>Mevacs M30-230/12V </v>
      </c>
      <c r="D16" s="2" t="str">
        <f>"2611101 "</f>
        <v>2611101 </v>
      </c>
      <c r="E16" s="2" t="str">
        <f>"Stacja Dializ Pediatryczna"</f>
        <v>Stacja Dializ Pediatryczna</v>
      </c>
      <c r="F16" s="2">
        <v>2011</v>
      </c>
      <c r="G16" s="2" t="str">
        <f t="shared" si="3"/>
        <v>MEDIST</v>
      </c>
      <c r="H16" s="2" t="str">
        <f t="shared" si="0"/>
        <v>12 mies.</v>
      </c>
      <c r="I16" s="2" t="s">
        <v>286</v>
      </c>
    </row>
    <row r="17" spans="1:9" ht="51">
      <c r="A17" s="1" t="s">
        <v>15</v>
      </c>
      <c r="B17" s="2" t="str">
        <f aca="true" t="shared" si="4" ref="B17:B48">"Ssak elektryczny"</f>
        <v>Ssak elektryczny</v>
      </c>
      <c r="C17" s="2" t="str">
        <f>"AC 15"</f>
        <v>AC 15</v>
      </c>
      <c r="D17" s="2" t="str">
        <f>"2484 "</f>
        <v>2484 </v>
      </c>
      <c r="E17" s="2" t="str">
        <f>"Oddz. Klin. Chir.Naczyniowej, Chir.Ogólnej"</f>
        <v>Oddz. Klin. Chir.Naczyniowej, Chir.Ogólnej</v>
      </c>
      <c r="F17" s="2">
        <v>2007</v>
      </c>
      <c r="G17" s="2" t="str">
        <f>"Zeiner Medical"</f>
        <v>Zeiner Medical</v>
      </c>
      <c r="H17" s="2" t="str">
        <f t="shared" si="0"/>
        <v>12 mies.</v>
      </c>
      <c r="I17" s="2" t="s">
        <v>286</v>
      </c>
    </row>
    <row r="18" spans="1:9" ht="51">
      <c r="A18" s="1" t="s">
        <v>16</v>
      </c>
      <c r="B18" s="2" t="str">
        <f t="shared" si="4"/>
        <v>Ssak elektryczny</v>
      </c>
      <c r="C18" s="2" t="str">
        <f>"AC 15"</f>
        <v>AC 15</v>
      </c>
      <c r="D18" s="2" t="str">
        <f>"2452"</f>
        <v>2452</v>
      </c>
      <c r="E18" s="2" t="str">
        <f>"Oddz. Klin. Neurologii, Udarowy"</f>
        <v>Oddz. Klin. Neurologii, Udarowy</v>
      </c>
      <c r="F18" s="2"/>
      <c r="G18" s="2" t="str">
        <f>"Zeiner Medical"</f>
        <v>Zeiner Medical</v>
      </c>
      <c r="H18" s="2" t="str">
        <f t="shared" si="0"/>
        <v>12 mies.</v>
      </c>
      <c r="I18" s="2" t="s">
        <v>286</v>
      </c>
    </row>
    <row r="19" spans="1:9" ht="51">
      <c r="A19" s="1" t="s">
        <v>17</v>
      </c>
      <c r="B19" s="2" t="str">
        <f t="shared" si="4"/>
        <v>Ssak elektryczny</v>
      </c>
      <c r="C19" s="2" t="str">
        <f>"AC 15"</f>
        <v>AC 15</v>
      </c>
      <c r="D19" s="2" t="str">
        <f>"2488"</f>
        <v>2488</v>
      </c>
      <c r="E19" s="2" t="str">
        <f>"Szpitalny Oddział Ratunkowy-Klin.Med.Rat"</f>
        <v>Szpitalny Oddział Ratunkowy-Klin.Med.Rat</v>
      </c>
      <c r="F19" s="2"/>
      <c r="G19" s="2" t="str">
        <f>"Zeiner Medical"</f>
        <v>Zeiner Medical</v>
      </c>
      <c r="H19" s="2" t="str">
        <f t="shared" si="0"/>
        <v>12 mies.</v>
      </c>
      <c r="I19" s="2" t="s">
        <v>286</v>
      </c>
    </row>
    <row r="20" spans="1:9" ht="51">
      <c r="A20" s="1" t="s">
        <v>18</v>
      </c>
      <c r="B20" s="2" t="str">
        <f t="shared" si="4"/>
        <v>Ssak elektryczny</v>
      </c>
      <c r="C20" s="2" t="str">
        <f>"Atmoforte 350"</f>
        <v>Atmoforte 350</v>
      </c>
      <c r="D20" s="2" t="str">
        <f>"205821 04/2001-09"</f>
        <v>205821 04/2001-09</v>
      </c>
      <c r="E20" s="2" t="str">
        <f>"Oddz. Klin. Chir.Ogólnej, Ch.Onkologicznej"</f>
        <v>Oddz. Klin. Chir.Ogólnej, Ch.Onkologicznej</v>
      </c>
      <c r="F20" s="2">
        <v>2000</v>
      </c>
      <c r="G20" s="2" t="str">
        <f>"Atmos GmbH"</f>
        <v>Atmos GmbH</v>
      </c>
      <c r="H20" s="2" t="str">
        <f t="shared" si="0"/>
        <v>12 mies.</v>
      </c>
      <c r="I20" s="2" t="s">
        <v>286</v>
      </c>
    </row>
    <row r="21" spans="1:9" ht="51">
      <c r="A21" s="1" t="s">
        <v>19</v>
      </c>
      <c r="B21" s="2" t="str">
        <f t="shared" si="4"/>
        <v>Ssak elektryczny</v>
      </c>
      <c r="C21" s="2" t="str">
        <f>"Atmoforte 350"</f>
        <v>Atmoforte 350</v>
      </c>
      <c r="D21" s="2" t="str">
        <f>"204785/08 2000-11 "</f>
        <v>204785/08 2000-11 </v>
      </c>
      <c r="E21" s="2" t="str">
        <f>"Oddz. Klin.Gastroent.Hepatologii,Ch.Metab"</f>
        <v>Oddz. Klin.Gastroent.Hepatologii,Ch.Metab</v>
      </c>
      <c r="F21" s="2">
        <v>2000</v>
      </c>
      <c r="G21" s="2" t="str">
        <f>"Atmos GmbH"</f>
        <v>Atmos GmbH</v>
      </c>
      <c r="H21" s="2" t="str">
        <f t="shared" si="0"/>
        <v>12 mies.</v>
      </c>
      <c r="I21" s="2" t="s">
        <v>286</v>
      </c>
    </row>
    <row r="22" spans="1:9" ht="51">
      <c r="A22" s="1" t="s">
        <v>20</v>
      </c>
      <c r="B22" s="2" t="str">
        <f t="shared" si="4"/>
        <v>Ssak elektryczny</v>
      </c>
      <c r="C22" s="2" t="str">
        <f>"Atmolit 26"</f>
        <v>Atmolit 26</v>
      </c>
      <c r="D22" s="2" t="str">
        <f>"2100640228"</f>
        <v>2100640228</v>
      </c>
      <c r="E22" s="2" t="str">
        <f>"Dział Diagnostyki Endoskopowej"</f>
        <v>Dział Diagnostyki Endoskopowej</v>
      </c>
      <c r="F22" s="2">
        <v>2004</v>
      </c>
      <c r="G22" s="2" t="str">
        <f>"Atmos MedizinTechnik GmbH Co. KG"</f>
        <v>Atmos MedizinTechnik GmbH Co. KG</v>
      </c>
      <c r="H22" s="2" t="str">
        <f t="shared" si="0"/>
        <v>12 mies.</v>
      </c>
      <c r="I22" s="2" t="s">
        <v>286</v>
      </c>
    </row>
    <row r="23" spans="1:9" ht="51">
      <c r="A23" s="1" t="s">
        <v>21</v>
      </c>
      <c r="B23" s="2" t="str">
        <f t="shared" si="4"/>
        <v>Ssak elektryczny</v>
      </c>
      <c r="C23" s="2" t="str">
        <f>"Atmolit 26"</f>
        <v>Atmolit 26</v>
      </c>
      <c r="D23" s="2" t="str">
        <f>"2100640226 "</f>
        <v>2100640226 </v>
      </c>
      <c r="E23" s="2" t="str">
        <f>"Dział Diagnostyki Endoskopowej"</f>
        <v>Dział Diagnostyki Endoskopowej</v>
      </c>
      <c r="F23" s="2">
        <v>2004</v>
      </c>
      <c r="G23" s="2" t="str">
        <f>"Atmos MedizinTechnik GmbH Co. KG"</f>
        <v>Atmos MedizinTechnik GmbH Co. KG</v>
      </c>
      <c r="H23" s="2" t="str">
        <f t="shared" si="0"/>
        <v>12 mies.</v>
      </c>
      <c r="I23" s="2" t="s">
        <v>286</v>
      </c>
    </row>
    <row r="24" spans="1:9" ht="51">
      <c r="A24" s="1" t="s">
        <v>22</v>
      </c>
      <c r="B24" s="2" t="str">
        <f t="shared" si="4"/>
        <v>Ssak elektryczny</v>
      </c>
      <c r="C24" s="2" t="str">
        <f>"Atmolit 26"</f>
        <v>Atmolit 26</v>
      </c>
      <c r="D24" s="2" t="str">
        <f>"2100640227"</f>
        <v>2100640227</v>
      </c>
      <c r="E24" s="2" t="str">
        <f>"Dział Diagnostyki Endoskopowej"</f>
        <v>Dział Diagnostyki Endoskopowej</v>
      </c>
      <c r="F24" s="2">
        <v>2004</v>
      </c>
      <c r="G24" s="2" t="str">
        <f>"Atmos MedizinTechnik GmbH Co. KG"</f>
        <v>Atmos MedizinTechnik GmbH Co. KG</v>
      </c>
      <c r="H24" s="2" t="str">
        <f t="shared" si="0"/>
        <v>12 mies.</v>
      </c>
      <c r="I24" s="2" t="s">
        <v>286</v>
      </c>
    </row>
    <row r="25" spans="1:9" ht="51">
      <c r="A25" s="1" t="s">
        <v>23</v>
      </c>
      <c r="B25" s="2" t="str">
        <f t="shared" si="4"/>
        <v>Ssak elektryczny</v>
      </c>
      <c r="C25" s="2" t="str">
        <f>"Basic 30"</f>
        <v>Basic 30</v>
      </c>
      <c r="D25" s="2" t="str">
        <f>"1042833 "</f>
        <v>1042833 </v>
      </c>
      <c r="E25" s="2" t="str">
        <f>"Blok Op. Kardiochirurgii"</f>
        <v>Blok Op. Kardiochirurgii</v>
      </c>
      <c r="F25" s="2"/>
      <c r="G25" s="2" t="str">
        <f aca="true" t="shared" si="5" ref="G25:G30">"MEDELA"</f>
        <v>MEDELA</v>
      </c>
      <c r="H25" s="2" t="str">
        <f t="shared" si="0"/>
        <v>12 mies.</v>
      </c>
      <c r="I25" s="2" t="s">
        <v>286</v>
      </c>
    </row>
    <row r="26" spans="1:9" ht="51">
      <c r="A26" s="1" t="s">
        <v>24</v>
      </c>
      <c r="B26" s="2" t="str">
        <f t="shared" si="4"/>
        <v>Ssak elektryczny</v>
      </c>
      <c r="C26" s="2" t="str">
        <f>"Basic 30"</f>
        <v>Basic 30</v>
      </c>
      <c r="D26" s="2" t="str">
        <f>"1060678 "</f>
        <v>1060678 </v>
      </c>
      <c r="E26" s="2" t="str">
        <f>"Blok Op. Kardiochirurgii"</f>
        <v>Blok Op. Kardiochirurgii</v>
      </c>
      <c r="F26" s="2"/>
      <c r="G26" s="2" t="str">
        <f t="shared" si="5"/>
        <v>MEDELA</v>
      </c>
      <c r="H26" s="2" t="str">
        <f t="shared" si="0"/>
        <v>12 mies.</v>
      </c>
      <c r="I26" s="2" t="s">
        <v>286</v>
      </c>
    </row>
    <row r="27" spans="1:9" ht="51">
      <c r="A27" s="1" t="s">
        <v>25</v>
      </c>
      <c r="B27" s="2" t="str">
        <f t="shared" si="4"/>
        <v>Ssak elektryczny</v>
      </c>
      <c r="C27" s="2" t="str">
        <f>"Basic 30"</f>
        <v>Basic 30</v>
      </c>
      <c r="D27" s="2" t="str">
        <f>"CST/28031 "</f>
        <v>CST/28031 </v>
      </c>
      <c r="E27" s="2" t="str">
        <f>"Blok Op. Kardiochirurgii"</f>
        <v>Blok Op. Kardiochirurgii</v>
      </c>
      <c r="F27" s="2">
        <v>2011</v>
      </c>
      <c r="G27" s="2" t="str">
        <f t="shared" si="5"/>
        <v>MEDELA</v>
      </c>
      <c r="H27" s="2" t="str">
        <f t="shared" si="0"/>
        <v>12 mies.</v>
      </c>
      <c r="I27" s="2" t="s">
        <v>286</v>
      </c>
    </row>
    <row r="28" spans="1:9" ht="38.25">
      <c r="A28" s="1" t="s">
        <v>26</v>
      </c>
      <c r="B28" s="2" t="str">
        <f t="shared" si="4"/>
        <v>Ssak elektryczny</v>
      </c>
      <c r="C28" s="2" t="str">
        <f>"CH-6341 BAAR "</f>
        <v>CH-6341 BAAR </v>
      </c>
      <c r="D28" s="2" t="str">
        <f>"1247725 "</f>
        <v>1247725 </v>
      </c>
      <c r="E28" s="2" t="str">
        <f>"Szpitalny Oddział Ratunkowy-Klin.Med.Rat"</f>
        <v>Szpitalny Oddział Ratunkowy-Klin.Med.Rat</v>
      </c>
      <c r="F28" s="2">
        <v>2009</v>
      </c>
      <c r="G28" s="2" t="str">
        <f t="shared" si="5"/>
        <v>MEDELA</v>
      </c>
      <c r="H28" s="2" t="str">
        <f t="shared" si="0"/>
        <v>12 mies.</v>
      </c>
      <c r="I28" s="2" t="str">
        <f>"2018-11-14"</f>
        <v>2018-11-14</v>
      </c>
    </row>
    <row r="29" spans="1:9" ht="38.25">
      <c r="A29" s="1" t="s">
        <v>27</v>
      </c>
      <c r="B29" s="2" t="str">
        <f t="shared" si="4"/>
        <v>Ssak elektryczny</v>
      </c>
      <c r="C29" s="2" t="str">
        <f>"CH-6341 BAAR "</f>
        <v>CH-6341 BAAR </v>
      </c>
      <c r="D29" s="2" t="str">
        <f>"1249379 "</f>
        <v>1249379 </v>
      </c>
      <c r="E29" s="2" t="str">
        <f>"Szpitalny Oddział Ratunkowy-Klin.Med.Rat"</f>
        <v>Szpitalny Oddział Ratunkowy-Klin.Med.Rat</v>
      </c>
      <c r="F29" s="2">
        <v>2009</v>
      </c>
      <c r="G29" s="2" t="str">
        <f t="shared" si="5"/>
        <v>MEDELA</v>
      </c>
      <c r="H29" s="2" t="str">
        <f t="shared" si="0"/>
        <v>12 mies.</v>
      </c>
      <c r="I29" s="2" t="str">
        <f>"2018-11-14"</f>
        <v>2018-11-14</v>
      </c>
    </row>
    <row r="30" spans="1:9" ht="38.25">
      <c r="A30" s="1" t="s">
        <v>28</v>
      </c>
      <c r="B30" s="2" t="str">
        <f t="shared" si="4"/>
        <v>Ssak elektryczny</v>
      </c>
      <c r="C30" s="2" t="str">
        <f>"CH-6341 BAAR "</f>
        <v>CH-6341 BAAR </v>
      </c>
      <c r="D30" s="2" t="str">
        <f>"1247701 "</f>
        <v>1247701 </v>
      </c>
      <c r="E30" s="2" t="str">
        <f>"Szpitalny Oddział Ratunkowy-Klin.Med.Rat"</f>
        <v>Szpitalny Oddział Ratunkowy-Klin.Med.Rat</v>
      </c>
      <c r="F30" s="2">
        <v>2009</v>
      </c>
      <c r="G30" s="2" t="str">
        <f t="shared" si="5"/>
        <v>MEDELA</v>
      </c>
      <c r="H30" s="2" t="str">
        <f t="shared" si="0"/>
        <v>12 mies.</v>
      </c>
      <c r="I30" s="2" t="str">
        <f>"2018-11-14"</f>
        <v>2018-11-14</v>
      </c>
    </row>
    <row r="31" spans="1:9" ht="51">
      <c r="A31" s="1" t="s">
        <v>29</v>
      </c>
      <c r="B31" s="2" t="str">
        <f t="shared" si="4"/>
        <v>Ssak elektryczny</v>
      </c>
      <c r="C31" s="2" t="str">
        <f>"F-40"</f>
        <v>F-40</v>
      </c>
      <c r="D31" s="2" t="str">
        <f>"070372-486/SP/09/2007"</f>
        <v>070372-486/SP/09/2007</v>
      </c>
      <c r="E31" s="2" t="str">
        <f>"Oddz. Klin. Neurochirurgiczny z P-oddz.IOM"</f>
        <v>Oddz. Klin. Neurochirurgiczny z P-oddz.IOM</v>
      </c>
      <c r="F31" s="2">
        <v>2007</v>
      </c>
      <c r="G31" s="2" t="str">
        <f>"Fazzini"</f>
        <v>Fazzini</v>
      </c>
      <c r="H31" s="2" t="str">
        <f t="shared" si="0"/>
        <v>12 mies.</v>
      </c>
      <c r="I31" s="2" t="s">
        <v>286</v>
      </c>
    </row>
    <row r="32" spans="1:9" ht="51">
      <c r="A32" s="1" t="s">
        <v>30</v>
      </c>
      <c r="B32" s="2" t="str">
        <f t="shared" si="4"/>
        <v>Ssak elektryczny</v>
      </c>
      <c r="C32" s="2" t="str">
        <f>"Mevacs M20"</f>
        <v>Mevacs M20</v>
      </c>
      <c r="D32" s="2" t="str">
        <f>"1408303"</f>
        <v>1408303</v>
      </c>
      <c r="E32" s="2" t="str">
        <f>"Oddz. Klin. Otolaryng. z P-oddz. Ot.Dziec."</f>
        <v>Oddz. Klin. Otolaryng. z P-oddz. Ot.Dziec.</v>
      </c>
      <c r="F32" s="2">
        <v>2008</v>
      </c>
      <c r="G32" s="2" t="str">
        <f>"Medist"</f>
        <v>Medist</v>
      </c>
      <c r="H32" s="2" t="str">
        <f t="shared" si="0"/>
        <v>12 mies.</v>
      </c>
      <c r="I32" s="2" t="s">
        <v>286</v>
      </c>
    </row>
    <row r="33" spans="1:9" ht="51">
      <c r="A33" s="1" t="s">
        <v>31</v>
      </c>
      <c r="B33" s="2" t="str">
        <f t="shared" si="4"/>
        <v>Ssak elektryczny</v>
      </c>
      <c r="C33" s="2" t="str">
        <f>"Mevacs M20"</f>
        <v>Mevacs M20</v>
      </c>
      <c r="D33" s="2" t="str">
        <f>"1408310"</f>
        <v>1408310</v>
      </c>
      <c r="E33" s="2" t="str">
        <f>"Oddz. Klin. Otolaryng. z P-oddz. Ot.Dziec."</f>
        <v>Oddz. Klin. Otolaryng. z P-oddz. Ot.Dziec.</v>
      </c>
      <c r="F33" s="2">
        <v>2008</v>
      </c>
      <c r="G33" s="2" t="str">
        <f>"Medist"</f>
        <v>Medist</v>
      </c>
      <c r="H33" s="2" t="str">
        <f t="shared" si="0"/>
        <v>12 mies.</v>
      </c>
      <c r="I33" s="2" t="s">
        <v>286</v>
      </c>
    </row>
    <row r="34" spans="1:9" ht="51">
      <c r="A34" s="1" t="s">
        <v>32</v>
      </c>
      <c r="B34" s="2" t="str">
        <f t="shared" si="4"/>
        <v>Ssak elektryczny</v>
      </c>
      <c r="C34" s="2" t="str">
        <f>"Mevacs M20"</f>
        <v>Mevacs M20</v>
      </c>
      <c r="D34" s="2" t="str">
        <f>"1415135"</f>
        <v>1415135</v>
      </c>
      <c r="E34" s="2" t="str">
        <f>"Oddz. Klin. Urologiczny"</f>
        <v>Oddz. Klin. Urologiczny</v>
      </c>
      <c r="F34" s="2">
        <v>2015</v>
      </c>
      <c r="G34" s="2" t="str">
        <f>"Medist"</f>
        <v>Medist</v>
      </c>
      <c r="H34" s="2" t="str">
        <f t="shared" si="0"/>
        <v>12 mies.</v>
      </c>
      <c r="I34" s="2" t="s">
        <v>286</v>
      </c>
    </row>
    <row r="35" spans="1:9" ht="51">
      <c r="A35" s="1" t="s">
        <v>33</v>
      </c>
      <c r="B35" s="2" t="str">
        <f t="shared" si="4"/>
        <v>Ssak elektryczny</v>
      </c>
      <c r="C35" s="2" t="str">
        <f>"Mevacs M-38"</f>
        <v>Mevacs M-38</v>
      </c>
      <c r="D35" s="2" t="str">
        <f>"1203116"</f>
        <v>1203116</v>
      </c>
      <c r="E35" s="2" t="str">
        <f>"Dział Diagnostyki Endoskopowej"</f>
        <v>Dział Diagnostyki Endoskopowej</v>
      </c>
      <c r="F35" s="2">
        <v>2003</v>
      </c>
      <c r="G35" s="2" t="str">
        <f>"MEDIST"</f>
        <v>MEDIST</v>
      </c>
      <c r="H35" s="2" t="str">
        <f t="shared" si="0"/>
        <v>12 mies.</v>
      </c>
      <c r="I35" s="2" t="s">
        <v>286</v>
      </c>
    </row>
    <row r="36" spans="1:9" ht="52.5" customHeight="1">
      <c r="A36" s="1" t="s">
        <v>34</v>
      </c>
      <c r="B36" s="2" t="str">
        <f t="shared" si="4"/>
        <v>Ssak elektryczny</v>
      </c>
      <c r="C36" s="2" t="str">
        <f>"Mevacs M-38"</f>
        <v>Mevacs M-38</v>
      </c>
      <c r="D36" s="2" t="str">
        <f>"1203114"</f>
        <v>1203114</v>
      </c>
      <c r="E36" s="2" t="str">
        <f>"PORADNIE"</f>
        <v>PORADNIE</v>
      </c>
      <c r="F36" s="2">
        <v>2003</v>
      </c>
      <c r="G36" s="2" t="str">
        <f>"MEDIST"</f>
        <v>MEDIST</v>
      </c>
      <c r="H36" s="2" t="str">
        <f t="shared" si="0"/>
        <v>12 mies.</v>
      </c>
      <c r="I36" s="2" t="s">
        <v>286</v>
      </c>
    </row>
    <row r="37" spans="1:9" ht="51">
      <c r="A37" s="1" t="s">
        <v>35</v>
      </c>
      <c r="B37" s="2" t="str">
        <f t="shared" si="4"/>
        <v>Ssak elektryczny</v>
      </c>
      <c r="C37" s="2" t="str">
        <f>"Mevacs M-38"</f>
        <v>Mevacs M-38</v>
      </c>
      <c r="D37" s="2" t="str">
        <f>"1203113 "</f>
        <v>1203113 </v>
      </c>
      <c r="E37" s="2" t="str">
        <f>"Pracownia Rezonansu Magnetycznego"</f>
        <v>Pracownia Rezonansu Magnetycznego</v>
      </c>
      <c r="F37" s="2">
        <v>2003</v>
      </c>
      <c r="G37" s="2" t="str">
        <f>"MEDIST"</f>
        <v>MEDIST</v>
      </c>
      <c r="H37" s="2" t="str">
        <f t="shared" si="0"/>
        <v>12 mies.</v>
      </c>
      <c r="I37" s="2" t="s">
        <v>286</v>
      </c>
    </row>
    <row r="38" spans="1:9" ht="38.25" customHeight="1">
      <c r="A38" s="1" t="s">
        <v>36</v>
      </c>
      <c r="B38" s="2" t="str">
        <f t="shared" si="4"/>
        <v>Ssak elektryczny</v>
      </c>
      <c r="C38" s="2" t="str">
        <f aca="true" t="shared" si="6" ref="C38:C56">"New Askir 230-12BR"</f>
        <v>New Askir 230-12BR</v>
      </c>
      <c r="D38" s="2" t="str">
        <f>"4121"</f>
        <v>4121</v>
      </c>
      <c r="E38" s="2" t="str">
        <f>"Dział Anestezjologii"</f>
        <v>Dział Anestezjologii</v>
      </c>
      <c r="F38" s="2">
        <v>2008</v>
      </c>
      <c r="G38" s="2" t="str">
        <f aca="true" t="shared" si="7" ref="G38:G58">"CA-MI srl"</f>
        <v>CA-MI srl</v>
      </c>
      <c r="H38" s="2" t="str">
        <f t="shared" si="0"/>
        <v>12 mies.</v>
      </c>
      <c r="I38" s="2" t="s">
        <v>286</v>
      </c>
    </row>
    <row r="39" spans="1:9" ht="51">
      <c r="A39" s="1" t="s">
        <v>37</v>
      </c>
      <c r="B39" s="2" t="str">
        <f t="shared" si="4"/>
        <v>Ssak elektryczny</v>
      </c>
      <c r="C39" s="2" t="str">
        <f t="shared" si="6"/>
        <v>New Askir 230-12BR</v>
      </c>
      <c r="D39" s="2" t="str">
        <f>"3128"</f>
        <v>3128</v>
      </c>
      <c r="E39" s="2" t="str">
        <f>"Oddz. Klin. Anestezjologii i Inten.Terapii"</f>
        <v>Oddz. Klin. Anestezjologii i Inten.Terapii</v>
      </c>
      <c r="F39" s="2">
        <v>2007</v>
      </c>
      <c r="G39" s="2" t="str">
        <f t="shared" si="7"/>
        <v>CA-MI srl</v>
      </c>
      <c r="H39" s="2" t="str">
        <f t="shared" si="0"/>
        <v>12 mies.</v>
      </c>
      <c r="I39" s="2" t="s">
        <v>286</v>
      </c>
    </row>
    <row r="40" spans="1:9" ht="51">
      <c r="A40" s="1" t="s">
        <v>38</v>
      </c>
      <c r="B40" s="2" t="str">
        <f t="shared" si="4"/>
        <v>Ssak elektryczny</v>
      </c>
      <c r="C40" s="2" t="str">
        <f t="shared" si="6"/>
        <v>New Askir 230-12BR</v>
      </c>
      <c r="D40" s="2" t="str">
        <f>"5110"</f>
        <v>5110</v>
      </c>
      <c r="E40" s="2" t="str">
        <f>"Oddz. Klin. Angiologii, Nad.Tętn, Diabet."</f>
        <v>Oddz. Klin. Angiologii, Nad.Tętn, Diabet.</v>
      </c>
      <c r="F40" s="2">
        <v>2017</v>
      </c>
      <c r="G40" s="2" t="str">
        <f t="shared" si="7"/>
        <v>CA-MI srl</v>
      </c>
      <c r="H40" s="2" t="str">
        <f t="shared" si="0"/>
        <v>12 mies.</v>
      </c>
      <c r="I40" s="2" t="s">
        <v>286</v>
      </c>
    </row>
    <row r="41" spans="1:9" ht="51">
      <c r="A41" s="1" t="s">
        <v>39</v>
      </c>
      <c r="B41" s="2" t="str">
        <f t="shared" si="4"/>
        <v>Ssak elektryczny</v>
      </c>
      <c r="C41" s="2" t="str">
        <f t="shared" si="6"/>
        <v>New Askir 230-12BR</v>
      </c>
      <c r="D41" s="2" t="str">
        <f>"3123"</f>
        <v>3123</v>
      </c>
      <c r="E41" s="2" t="str">
        <f>"Oddz. Klin. Angiologii, Nad.Tętn, Diabet."</f>
        <v>Oddz. Klin. Angiologii, Nad.Tętn, Diabet.</v>
      </c>
      <c r="F41" s="2">
        <v>2007</v>
      </c>
      <c r="G41" s="2" t="str">
        <f t="shared" si="7"/>
        <v>CA-MI srl</v>
      </c>
      <c r="H41" s="2" t="str">
        <f>"przeglądany z zestawem"</f>
        <v>przeglądany z zestawem</v>
      </c>
      <c r="I41" s="2" t="s">
        <v>286</v>
      </c>
    </row>
    <row r="42" spans="1:9" ht="51">
      <c r="A42" s="1" t="s">
        <v>40</v>
      </c>
      <c r="B42" s="2" t="str">
        <f t="shared" si="4"/>
        <v>Ssak elektryczny</v>
      </c>
      <c r="C42" s="2" t="str">
        <f t="shared" si="6"/>
        <v>New Askir 230-12BR</v>
      </c>
      <c r="D42" s="2" t="str">
        <f>"5155"</f>
        <v>5155</v>
      </c>
      <c r="E42" s="2" t="s">
        <v>0</v>
      </c>
      <c r="F42" s="2">
        <v>2008</v>
      </c>
      <c r="G42" s="2" t="str">
        <f t="shared" si="7"/>
        <v>CA-MI srl</v>
      </c>
      <c r="H42" s="2" t="str">
        <f>"12 mies."</f>
        <v>12 mies.</v>
      </c>
      <c r="I42" s="2" t="s">
        <v>286</v>
      </c>
    </row>
    <row r="43" spans="1:9" ht="51">
      <c r="A43" s="1" t="s">
        <v>41</v>
      </c>
      <c r="B43" s="2" t="str">
        <f t="shared" si="4"/>
        <v>Ssak elektryczny</v>
      </c>
      <c r="C43" s="2" t="str">
        <f t="shared" si="6"/>
        <v>New Askir 230-12BR</v>
      </c>
      <c r="D43" s="2" t="str">
        <f>"3129 "</f>
        <v>3129 </v>
      </c>
      <c r="E43" s="2" t="str">
        <f>"Oddz. Klin. Chir. Urazowo-Ortopedycznej"</f>
        <v>Oddz. Klin. Chir. Urazowo-Ortopedycznej</v>
      </c>
      <c r="F43" s="2">
        <v>2006</v>
      </c>
      <c r="G43" s="2" t="str">
        <f t="shared" si="7"/>
        <v>CA-MI srl</v>
      </c>
      <c r="H43" s="2" t="str">
        <f>"przeglądany z zestawem"</f>
        <v>przeglądany z zestawem</v>
      </c>
      <c r="I43" s="2" t="s">
        <v>286</v>
      </c>
    </row>
    <row r="44" spans="1:9" ht="51">
      <c r="A44" s="1" t="s">
        <v>42</v>
      </c>
      <c r="B44" s="2" t="str">
        <f t="shared" si="4"/>
        <v>Ssak elektryczny</v>
      </c>
      <c r="C44" s="2" t="str">
        <f t="shared" si="6"/>
        <v>New Askir 230-12BR</v>
      </c>
      <c r="D44" s="2" t="str">
        <f>"3121"</f>
        <v>3121</v>
      </c>
      <c r="E44" s="2" t="str">
        <f>"Oddz. Klin. Chir.Naczyniowej, Chir.Ogólnej"</f>
        <v>Oddz. Klin. Chir.Naczyniowej, Chir.Ogólnej</v>
      </c>
      <c r="F44" s="2">
        <v>2006</v>
      </c>
      <c r="G44" s="2" t="str">
        <f t="shared" si="7"/>
        <v>CA-MI srl</v>
      </c>
      <c r="H44" s="2" t="str">
        <f>"przeglądany z zestawem"</f>
        <v>przeglądany z zestawem</v>
      </c>
      <c r="I44" s="2" t="s">
        <v>286</v>
      </c>
    </row>
    <row r="45" spans="1:9" ht="51">
      <c r="A45" s="1" t="s">
        <v>43</v>
      </c>
      <c r="B45" s="2" t="str">
        <f t="shared" si="4"/>
        <v>Ssak elektryczny</v>
      </c>
      <c r="C45" s="2" t="str">
        <f t="shared" si="6"/>
        <v>New Askir 230-12BR</v>
      </c>
      <c r="D45" s="2" t="str">
        <f>"2817"</f>
        <v>2817</v>
      </c>
      <c r="E45" s="2" t="str">
        <f>"Oddz. Klin. Chir.Ogólnej, Ch.Onkologicznej"</f>
        <v>Oddz. Klin. Chir.Ogólnej, Ch.Onkologicznej</v>
      </c>
      <c r="F45" s="2">
        <v>2006</v>
      </c>
      <c r="G45" s="2" t="str">
        <f t="shared" si="7"/>
        <v>CA-MI srl</v>
      </c>
      <c r="H45" s="2" t="str">
        <f>"przeglądany z zestawem"</f>
        <v>przeglądany z zestawem</v>
      </c>
      <c r="I45" s="2" t="s">
        <v>286</v>
      </c>
    </row>
    <row r="46" spans="1:9" ht="51">
      <c r="A46" s="1" t="s">
        <v>44</v>
      </c>
      <c r="B46" s="2" t="str">
        <f t="shared" si="4"/>
        <v>Ssak elektryczny</v>
      </c>
      <c r="C46" s="2" t="str">
        <f t="shared" si="6"/>
        <v>New Askir 230-12BR</v>
      </c>
      <c r="D46" s="2" t="str">
        <f>"2815"</f>
        <v>2815</v>
      </c>
      <c r="E46" s="2" t="str">
        <f>"Oddz. Klin. Chirurgii Szczękowo-Twarzowej"</f>
        <v>Oddz. Klin. Chirurgii Szczękowo-Twarzowej</v>
      </c>
      <c r="F46" s="2">
        <v>2008</v>
      </c>
      <c r="G46" s="2" t="str">
        <f t="shared" si="7"/>
        <v>CA-MI srl</v>
      </c>
      <c r="H46" s="2" t="str">
        <f>"12 mies."</f>
        <v>12 mies.</v>
      </c>
      <c r="I46" s="2" t="s">
        <v>286</v>
      </c>
    </row>
    <row r="47" spans="1:9" ht="51">
      <c r="A47" s="1" t="s">
        <v>45</v>
      </c>
      <c r="B47" s="2" t="str">
        <f t="shared" si="4"/>
        <v>Ssak elektryczny</v>
      </c>
      <c r="C47" s="2" t="str">
        <f t="shared" si="6"/>
        <v>New Askir 230-12BR</v>
      </c>
      <c r="D47" s="2" t="str">
        <f>"2984"</f>
        <v>2984</v>
      </c>
      <c r="E47" s="2" t="str">
        <f>"Oddz. Klin. Chorób Wewn.i Zawodowych    "</f>
        <v>Oddz. Klin. Chorób Wewn.i Zawodowych    </v>
      </c>
      <c r="F47" s="2">
        <v>2008</v>
      </c>
      <c r="G47" s="2" t="str">
        <f t="shared" si="7"/>
        <v>CA-MI srl</v>
      </c>
      <c r="H47" s="2" t="str">
        <f>"12 mies."</f>
        <v>12 mies.</v>
      </c>
      <c r="I47" s="2" t="s">
        <v>286</v>
      </c>
    </row>
    <row r="48" spans="1:9" ht="51">
      <c r="A48" s="1" t="s">
        <v>46</v>
      </c>
      <c r="B48" s="2" t="str">
        <f t="shared" si="4"/>
        <v>Ssak elektryczny</v>
      </c>
      <c r="C48" s="2" t="str">
        <f t="shared" si="6"/>
        <v>New Askir 230-12BR</v>
      </c>
      <c r="D48" s="2" t="str">
        <f>"3127"</f>
        <v>3127</v>
      </c>
      <c r="E48" s="2" t="str">
        <f>"Oddz. Klin. Neurochirurgiczny z P-oddz.IOM"</f>
        <v>Oddz. Klin. Neurochirurgiczny z P-oddz.IOM</v>
      </c>
      <c r="F48" s="2">
        <v>2007</v>
      </c>
      <c r="G48" s="2" t="str">
        <f t="shared" si="7"/>
        <v>CA-MI srl</v>
      </c>
      <c r="H48" s="2" t="str">
        <f>"przeglądany z zestawem"</f>
        <v>przeglądany z zestawem</v>
      </c>
      <c r="I48" s="2" t="s">
        <v>286</v>
      </c>
    </row>
    <row r="49" spans="1:9" ht="51">
      <c r="A49" s="1" t="s">
        <v>47</v>
      </c>
      <c r="B49" s="2" t="str">
        <f aca="true" t="shared" si="8" ref="B49:B78">"Ssak elektryczny"</f>
        <v>Ssak elektryczny</v>
      </c>
      <c r="C49" s="2" t="str">
        <f t="shared" si="6"/>
        <v>New Askir 230-12BR</v>
      </c>
      <c r="D49" s="2" t="str">
        <f>"3125"</f>
        <v>3125</v>
      </c>
      <c r="E49" s="2" t="str">
        <f>"Oddz. Klin. Neurologii, Udarowy"</f>
        <v>Oddz. Klin. Neurologii, Udarowy</v>
      </c>
      <c r="F49" s="2"/>
      <c r="G49" s="2" t="str">
        <f t="shared" si="7"/>
        <v>CA-MI srl</v>
      </c>
      <c r="H49" s="2" t="str">
        <f>"przeglądany z zestawem"</f>
        <v>przeglądany z zestawem</v>
      </c>
      <c r="I49" s="2" t="s">
        <v>286</v>
      </c>
    </row>
    <row r="50" spans="1:9" ht="38.25">
      <c r="A50" s="1" t="s">
        <v>48</v>
      </c>
      <c r="B50" s="2" t="str">
        <f t="shared" si="8"/>
        <v>Ssak elektryczny</v>
      </c>
      <c r="C50" s="2" t="str">
        <f t="shared" si="6"/>
        <v>New Askir 230-12BR</v>
      </c>
      <c r="D50" s="2" t="str">
        <f>"9750 "</f>
        <v>9750 </v>
      </c>
      <c r="E50" s="2" t="str">
        <f>"Oddz. Klin. Otolaryng. z P-oddz. Ot.Dziec."</f>
        <v>Oddz. Klin. Otolaryng. z P-oddz. Ot.Dziec.</v>
      </c>
      <c r="F50" s="2">
        <v>2008</v>
      </c>
      <c r="G50" s="2" t="str">
        <f t="shared" si="7"/>
        <v>CA-MI srl</v>
      </c>
      <c r="H50" s="2" t="str">
        <f>"12 mies."</f>
        <v>12 mies.</v>
      </c>
      <c r="I50" s="40">
        <v>43449</v>
      </c>
    </row>
    <row r="51" spans="1:9" ht="38.25">
      <c r="A51" s="1" t="s">
        <v>49</v>
      </c>
      <c r="B51" s="2" t="str">
        <f t="shared" si="8"/>
        <v>Ssak elektryczny</v>
      </c>
      <c r="C51" s="2" t="str">
        <f t="shared" si="6"/>
        <v>New Askir 230-12BR</v>
      </c>
      <c r="D51" s="2" t="str">
        <f>"2808"</f>
        <v>2808</v>
      </c>
      <c r="E51" s="2" t="str">
        <f>"Oddz. Klin. Otolaryng. z P-oddz. Ot.Dziec."</f>
        <v>Oddz. Klin. Otolaryng. z P-oddz. Ot.Dziec.</v>
      </c>
      <c r="F51" s="2">
        <v>2008</v>
      </c>
      <c r="G51" s="2" t="str">
        <f t="shared" si="7"/>
        <v>CA-MI srl</v>
      </c>
      <c r="H51" s="2" t="str">
        <f>"12 mies."</f>
        <v>12 mies.</v>
      </c>
      <c r="I51" s="2" t="str">
        <f>"2018-12-15"</f>
        <v>2018-12-15</v>
      </c>
    </row>
    <row r="52" spans="1:9" ht="51">
      <c r="A52" s="1" t="s">
        <v>50</v>
      </c>
      <c r="B52" s="2" t="str">
        <f t="shared" si="8"/>
        <v>Ssak elektryczny</v>
      </c>
      <c r="C52" s="2" t="str">
        <f t="shared" si="6"/>
        <v>New Askir 230-12BR</v>
      </c>
      <c r="D52" s="2" t="str">
        <f>"3126 "</f>
        <v>3126 </v>
      </c>
      <c r="E52" s="2" t="str">
        <f>"Oddz. Klin. Reumatologii i Chorób Wewn."</f>
        <v>Oddz. Klin. Reumatologii i Chorób Wewn.</v>
      </c>
      <c r="F52" s="2">
        <v>2007</v>
      </c>
      <c r="G52" s="2" t="str">
        <f t="shared" si="7"/>
        <v>CA-MI srl</v>
      </c>
      <c r="H52" s="2" t="str">
        <f>"12 mies."</f>
        <v>12 mies.</v>
      </c>
      <c r="I52" s="2" t="s">
        <v>286</v>
      </c>
    </row>
    <row r="53" spans="1:9" ht="51">
      <c r="A53" s="1" t="s">
        <v>51</v>
      </c>
      <c r="B53" s="2" t="str">
        <f t="shared" si="8"/>
        <v>Ssak elektryczny</v>
      </c>
      <c r="C53" s="2" t="str">
        <f t="shared" si="6"/>
        <v>New Askir 230-12BR</v>
      </c>
      <c r="D53" s="2" t="str">
        <f>"3122"</f>
        <v>3122</v>
      </c>
      <c r="E53" s="2" t="str">
        <f>"Oddz. Klin. Urologiczny"</f>
        <v>Oddz. Klin. Urologiczny</v>
      </c>
      <c r="F53" s="2">
        <v>2006</v>
      </c>
      <c r="G53" s="2" t="str">
        <f t="shared" si="7"/>
        <v>CA-MI srl</v>
      </c>
      <c r="H53" s="2" t="str">
        <f>"12 mies."</f>
        <v>12 mies.</v>
      </c>
      <c r="I53" s="2" t="s">
        <v>286</v>
      </c>
    </row>
    <row r="54" spans="1:9" ht="51">
      <c r="A54" s="1" t="s">
        <v>52</v>
      </c>
      <c r="B54" s="2" t="str">
        <f t="shared" si="8"/>
        <v>Ssak elektryczny</v>
      </c>
      <c r="C54" s="2" t="str">
        <f t="shared" si="6"/>
        <v>New Askir 230-12BR</v>
      </c>
      <c r="D54" s="2" t="str">
        <f>"3131"</f>
        <v>3131</v>
      </c>
      <c r="E54" s="2" t="str">
        <f>"Oddz. Klin.Chir.Małoinwazyjnej i Proktol."</f>
        <v>Oddz. Klin.Chir.Małoinwazyjnej i Proktol.</v>
      </c>
      <c r="F54" s="2">
        <v>2006</v>
      </c>
      <c r="G54" s="2" t="str">
        <f t="shared" si="7"/>
        <v>CA-MI srl</v>
      </c>
      <c r="H54" s="2" t="str">
        <f>"przeglądany z zestawem"</f>
        <v>przeglądany z zestawem</v>
      </c>
      <c r="I54" s="2" t="s">
        <v>286</v>
      </c>
    </row>
    <row r="55" spans="1:9" ht="51">
      <c r="A55" s="1" t="s">
        <v>53</v>
      </c>
      <c r="B55" s="2" t="str">
        <f t="shared" si="8"/>
        <v>Ssak elektryczny</v>
      </c>
      <c r="C55" s="2" t="str">
        <f t="shared" si="6"/>
        <v>New Askir 230-12BR</v>
      </c>
      <c r="D55" s="2" t="str">
        <f>"3120 "</f>
        <v>3120 </v>
      </c>
      <c r="E55" s="2" t="str">
        <f>"Oddz. Klin.Gastroent.Hepatologii,Ch.Metab"</f>
        <v>Oddz. Klin.Gastroent.Hepatologii,Ch.Metab</v>
      </c>
      <c r="F55" s="2">
        <v>2007</v>
      </c>
      <c r="G55" s="2" t="str">
        <f t="shared" si="7"/>
        <v>CA-MI srl</v>
      </c>
      <c r="H55" s="2" t="str">
        <f aca="true" t="shared" si="9" ref="H55:H86">"12 mies."</f>
        <v>12 mies.</v>
      </c>
      <c r="I55" s="2" t="s">
        <v>286</v>
      </c>
    </row>
    <row r="56" spans="1:9" ht="51">
      <c r="A56" s="1" t="s">
        <v>54</v>
      </c>
      <c r="B56" s="2" t="str">
        <f t="shared" si="8"/>
        <v>Ssak elektryczny</v>
      </c>
      <c r="C56" s="2" t="str">
        <f t="shared" si="6"/>
        <v>New Askir 230-12BR</v>
      </c>
      <c r="D56" s="2" t="str">
        <f>"5156-143 "</f>
        <v>5156-143 </v>
      </c>
      <c r="E56" s="2" t="str">
        <f>"Pracownia Tomografii Komputerowej"</f>
        <v>Pracownia Tomografii Komputerowej</v>
      </c>
      <c r="F56" s="2">
        <v>2008</v>
      </c>
      <c r="G56" s="2" t="str">
        <f t="shared" si="7"/>
        <v>CA-MI srl</v>
      </c>
      <c r="H56" s="2" t="str">
        <f t="shared" si="9"/>
        <v>12 mies.</v>
      </c>
      <c r="I56" s="2" t="s">
        <v>286</v>
      </c>
    </row>
    <row r="57" spans="1:9" ht="51">
      <c r="A57" s="1" t="s">
        <v>55</v>
      </c>
      <c r="B57" s="2" t="str">
        <f t="shared" si="8"/>
        <v>Ssak elektryczny</v>
      </c>
      <c r="C57" s="2" t="str">
        <f>"New Hospivac 350 "</f>
        <v>New Hospivac 350 </v>
      </c>
      <c r="D57" s="2" t="str">
        <f>"1273 "</f>
        <v>1273 </v>
      </c>
      <c r="E57" s="2" t="str">
        <f>"Oddz. Klin. Nefrologiczny"</f>
        <v>Oddz. Klin. Nefrologiczny</v>
      </c>
      <c r="F57" s="2">
        <v>2009</v>
      </c>
      <c r="G57" s="2" t="str">
        <f t="shared" si="7"/>
        <v>CA-MI srl</v>
      </c>
      <c r="H57" s="2" t="str">
        <f t="shared" si="9"/>
        <v>12 mies.</v>
      </c>
      <c r="I57" s="2" t="s">
        <v>286</v>
      </c>
    </row>
    <row r="58" spans="1:9" ht="51">
      <c r="A58" s="1" t="s">
        <v>56</v>
      </c>
      <c r="B58" s="2" t="str">
        <f t="shared" si="8"/>
        <v>Ssak elektryczny</v>
      </c>
      <c r="C58" s="2" t="str">
        <f>"New Hospivac 400"</f>
        <v>New Hospivac 400</v>
      </c>
      <c r="D58" s="2" t="str">
        <f>"2507 "</f>
        <v>2507 </v>
      </c>
      <c r="E58" s="2" t="str">
        <f>"Oddz. Klin. Otolaryng. z P-oddz. Ot.Dziec."</f>
        <v>Oddz. Klin. Otolaryng. z P-oddz. Ot.Dziec.</v>
      </c>
      <c r="F58" s="2">
        <v>2009</v>
      </c>
      <c r="G58" s="2" t="str">
        <f t="shared" si="7"/>
        <v>CA-MI srl</v>
      </c>
      <c r="H58" s="2" t="str">
        <f t="shared" si="9"/>
        <v>12 mies.</v>
      </c>
      <c r="I58" s="2" t="s">
        <v>286</v>
      </c>
    </row>
    <row r="59" spans="1:9" ht="51">
      <c r="A59" s="1" t="s">
        <v>57</v>
      </c>
      <c r="B59" s="2" t="str">
        <f t="shared" si="8"/>
        <v>Ssak elektryczny</v>
      </c>
      <c r="C59" s="2" t="str">
        <f aca="true" t="shared" si="10" ref="C59:C73">"RSU-131"</f>
        <v>RSU-131</v>
      </c>
      <c r="D59" s="2" t="str">
        <f>"RSU-131-11016"</f>
        <v>RSU-131-11016</v>
      </c>
      <c r="E59" s="2" t="str">
        <f>"Oddz. Klin. Chorób Wewn.i Zawodowych    "</f>
        <v>Oddz. Klin. Chorób Wewn.i Zawodowych    </v>
      </c>
      <c r="F59" s="2">
        <v>2011</v>
      </c>
      <c r="G59" s="2" t="str">
        <f aca="true" t="shared" si="11" ref="G59:G73">"REXMED"</f>
        <v>REXMED</v>
      </c>
      <c r="H59" s="2" t="str">
        <f t="shared" si="9"/>
        <v>12 mies.</v>
      </c>
      <c r="I59" s="2" t="s">
        <v>286</v>
      </c>
    </row>
    <row r="60" spans="1:9" ht="51">
      <c r="A60" s="1" t="s">
        <v>58</v>
      </c>
      <c r="B60" s="2" t="str">
        <f t="shared" si="8"/>
        <v>Ssak elektryczny</v>
      </c>
      <c r="C60" s="2" t="str">
        <f t="shared" si="10"/>
        <v>RSU-131</v>
      </c>
      <c r="D60" s="2" t="str">
        <f>"RSU-131-11015 "</f>
        <v>RSU-131-11015 </v>
      </c>
      <c r="E60" s="2" t="str">
        <f>"Oddz. Klin. Kardiochirurgii"</f>
        <v>Oddz. Klin. Kardiochirurgii</v>
      </c>
      <c r="F60" s="2">
        <v>2011</v>
      </c>
      <c r="G60" s="2" t="str">
        <f t="shared" si="11"/>
        <v>REXMED</v>
      </c>
      <c r="H60" s="2" t="str">
        <f t="shared" si="9"/>
        <v>12 mies.</v>
      </c>
      <c r="I60" s="2" t="s">
        <v>286</v>
      </c>
    </row>
    <row r="61" spans="1:9" ht="51">
      <c r="A61" s="1" t="s">
        <v>59</v>
      </c>
      <c r="B61" s="2" t="str">
        <f t="shared" si="8"/>
        <v>Ssak elektryczny</v>
      </c>
      <c r="C61" s="2" t="str">
        <f t="shared" si="10"/>
        <v>RSU-131</v>
      </c>
      <c r="D61" s="2" t="str">
        <f>"RSU-131-11007"</f>
        <v>RSU-131-11007</v>
      </c>
      <c r="E61" s="2" t="str">
        <f>"Oddz. Klin. Kardiologiczny"</f>
        <v>Oddz. Klin. Kardiologiczny</v>
      </c>
      <c r="F61" s="2">
        <v>2011</v>
      </c>
      <c r="G61" s="2" t="str">
        <f t="shared" si="11"/>
        <v>REXMED</v>
      </c>
      <c r="H61" s="2" t="str">
        <f t="shared" si="9"/>
        <v>12 mies.</v>
      </c>
      <c r="I61" s="2" t="s">
        <v>286</v>
      </c>
    </row>
    <row r="62" spans="1:9" ht="51">
      <c r="A62" s="1" t="s">
        <v>60</v>
      </c>
      <c r="B62" s="2" t="str">
        <f t="shared" si="8"/>
        <v>Ssak elektryczny</v>
      </c>
      <c r="C62" s="2" t="str">
        <f t="shared" si="10"/>
        <v>RSU-131</v>
      </c>
      <c r="D62" s="2" t="str">
        <f>"RSU-131-11022 "</f>
        <v>RSU-131-11022 </v>
      </c>
      <c r="E62" s="2" t="str">
        <f>"Oddz. Klin. Kardiologiczny"</f>
        <v>Oddz. Klin. Kardiologiczny</v>
      </c>
      <c r="F62" s="2">
        <v>2011</v>
      </c>
      <c r="G62" s="2" t="str">
        <f t="shared" si="11"/>
        <v>REXMED</v>
      </c>
      <c r="H62" s="2" t="str">
        <f t="shared" si="9"/>
        <v>12 mies.</v>
      </c>
      <c r="I62" s="2" t="s">
        <v>286</v>
      </c>
    </row>
    <row r="63" spans="1:9" ht="51">
      <c r="A63" s="1" t="s">
        <v>61</v>
      </c>
      <c r="B63" s="2" t="str">
        <f t="shared" si="8"/>
        <v>Ssak elektryczny</v>
      </c>
      <c r="C63" s="2" t="str">
        <f t="shared" si="10"/>
        <v>RSU-131</v>
      </c>
      <c r="D63" s="2" t="str">
        <f>"RSU-131-11009"</f>
        <v>RSU-131-11009</v>
      </c>
      <c r="E63" s="2" t="str">
        <f>"Oddz. Klin. Kardiologiczny"</f>
        <v>Oddz. Klin. Kardiologiczny</v>
      </c>
      <c r="F63" s="2">
        <v>2011</v>
      </c>
      <c r="G63" s="2" t="str">
        <f t="shared" si="11"/>
        <v>REXMED</v>
      </c>
      <c r="H63" s="2" t="str">
        <f t="shared" si="9"/>
        <v>12 mies.</v>
      </c>
      <c r="I63" s="2" t="s">
        <v>286</v>
      </c>
    </row>
    <row r="64" spans="1:9" ht="51">
      <c r="A64" s="1" t="s">
        <v>62</v>
      </c>
      <c r="B64" s="2" t="str">
        <f t="shared" si="8"/>
        <v>Ssak elektryczny</v>
      </c>
      <c r="C64" s="2" t="str">
        <f t="shared" si="10"/>
        <v>RSU-131</v>
      </c>
      <c r="D64" s="2" t="str">
        <f>"RSU-131-11017 "</f>
        <v>RSU-131-11017 </v>
      </c>
      <c r="E64" s="2" t="str">
        <f>"Oddz. Klin. Nefrologi Pediatr."</f>
        <v>Oddz. Klin. Nefrologi Pediatr.</v>
      </c>
      <c r="F64" s="2">
        <v>2011</v>
      </c>
      <c r="G64" s="2" t="str">
        <f t="shared" si="11"/>
        <v>REXMED</v>
      </c>
      <c r="H64" s="2" t="str">
        <f t="shared" si="9"/>
        <v>12 mies.</v>
      </c>
      <c r="I64" s="2" t="s">
        <v>286</v>
      </c>
    </row>
    <row r="65" spans="1:9" ht="51">
      <c r="A65" s="1" t="s">
        <v>63</v>
      </c>
      <c r="B65" s="2" t="str">
        <f t="shared" si="8"/>
        <v>Ssak elektryczny</v>
      </c>
      <c r="C65" s="2" t="str">
        <f t="shared" si="10"/>
        <v>RSU-131</v>
      </c>
      <c r="D65" s="2" t="str">
        <f>"RSU-131-11011 "</f>
        <v>RSU-131-11011 </v>
      </c>
      <c r="E65" s="2" t="str">
        <f>"Oddz. Klin. Nefrologi Pediatr."</f>
        <v>Oddz. Klin. Nefrologi Pediatr.</v>
      </c>
      <c r="F65" s="2">
        <v>2011</v>
      </c>
      <c r="G65" s="2" t="str">
        <f t="shared" si="11"/>
        <v>REXMED</v>
      </c>
      <c r="H65" s="2" t="str">
        <f t="shared" si="9"/>
        <v>12 mies.</v>
      </c>
      <c r="I65" s="2" t="s">
        <v>286</v>
      </c>
    </row>
    <row r="66" spans="1:9" ht="51">
      <c r="A66" s="1" t="s">
        <v>64</v>
      </c>
      <c r="B66" s="2" t="str">
        <f t="shared" si="8"/>
        <v>Ssak elektryczny</v>
      </c>
      <c r="C66" s="2" t="str">
        <f t="shared" si="10"/>
        <v>RSU-131</v>
      </c>
      <c r="D66" s="2" t="str">
        <f>"RSU-131-11014 "</f>
        <v>RSU-131-11014 </v>
      </c>
      <c r="E66" s="2" t="str">
        <f>"Oddz. Klin. Nefrologiczny"</f>
        <v>Oddz. Klin. Nefrologiczny</v>
      </c>
      <c r="F66" s="2">
        <v>2011</v>
      </c>
      <c r="G66" s="2" t="str">
        <f t="shared" si="11"/>
        <v>REXMED</v>
      </c>
      <c r="H66" s="2" t="str">
        <f t="shared" si="9"/>
        <v>12 mies.</v>
      </c>
      <c r="I66" s="2" t="s">
        <v>286</v>
      </c>
    </row>
    <row r="67" spans="1:9" ht="51">
      <c r="A67" s="1" t="s">
        <v>65</v>
      </c>
      <c r="B67" s="2" t="str">
        <f t="shared" si="8"/>
        <v>Ssak elektryczny</v>
      </c>
      <c r="C67" s="2" t="str">
        <f t="shared" si="10"/>
        <v>RSU-131</v>
      </c>
      <c r="D67" s="2" t="str">
        <f>"RSU-131-11005"</f>
        <v>RSU-131-11005</v>
      </c>
      <c r="E67" s="2" t="str">
        <f>"Oddz. Klin. Okulistyczny"</f>
        <v>Oddz. Klin. Okulistyczny</v>
      </c>
      <c r="F67" s="2">
        <v>2011</v>
      </c>
      <c r="G67" s="2" t="str">
        <f t="shared" si="11"/>
        <v>REXMED</v>
      </c>
      <c r="H67" s="2" t="str">
        <f t="shared" si="9"/>
        <v>12 mies.</v>
      </c>
      <c r="I67" s="2" t="s">
        <v>286</v>
      </c>
    </row>
    <row r="68" spans="1:9" ht="51">
      <c r="A68" s="1" t="s">
        <v>66</v>
      </c>
      <c r="B68" s="2" t="str">
        <f t="shared" si="8"/>
        <v>Ssak elektryczny</v>
      </c>
      <c r="C68" s="2" t="str">
        <f t="shared" si="10"/>
        <v>RSU-131</v>
      </c>
      <c r="D68" s="2" t="str">
        <f>"RSU-131-11019 "</f>
        <v>RSU-131-11019 </v>
      </c>
      <c r="E68" s="2" t="str">
        <f>"Oddz. Klin. Okulistyczny Dziecięcy"</f>
        <v>Oddz. Klin. Okulistyczny Dziecięcy</v>
      </c>
      <c r="F68" s="2">
        <v>2011</v>
      </c>
      <c r="G68" s="2" t="str">
        <f t="shared" si="11"/>
        <v>REXMED</v>
      </c>
      <c r="H68" s="2" t="str">
        <f t="shared" si="9"/>
        <v>12 mies.</v>
      </c>
      <c r="I68" s="2" t="s">
        <v>286</v>
      </c>
    </row>
    <row r="69" spans="1:9" ht="51">
      <c r="A69" s="1" t="s">
        <v>67</v>
      </c>
      <c r="B69" s="2" t="str">
        <f t="shared" si="8"/>
        <v>Ssak elektryczny</v>
      </c>
      <c r="C69" s="2" t="str">
        <f t="shared" si="10"/>
        <v>RSU-131</v>
      </c>
      <c r="D69" s="2" t="str">
        <f>"RSU-131-11001"</f>
        <v>RSU-131-11001</v>
      </c>
      <c r="E69" s="2" t="str">
        <f>"Oddz.Klin. Neonatologiczny z Oddz. ITN"</f>
        <v>Oddz.Klin. Neonatologiczny z Oddz. ITN</v>
      </c>
      <c r="F69" s="2">
        <v>2011</v>
      </c>
      <c r="G69" s="2" t="str">
        <f t="shared" si="11"/>
        <v>REXMED</v>
      </c>
      <c r="H69" s="2" t="str">
        <f t="shared" si="9"/>
        <v>12 mies.</v>
      </c>
      <c r="I69" s="2" t="s">
        <v>286</v>
      </c>
    </row>
    <row r="70" spans="1:9" ht="59.25" customHeight="1">
      <c r="A70" s="1" t="s">
        <v>68</v>
      </c>
      <c r="B70" s="2" t="str">
        <f t="shared" si="8"/>
        <v>Ssak elektryczny</v>
      </c>
      <c r="C70" s="2" t="str">
        <f t="shared" si="10"/>
        <v>RSU-131</v>
      </c>
      <c r="D70" s="2" t="str">
        <f>"RSU-131-11021 "</f>
        <v>RSU-131-11021 </v>
      </c>
      <c r="E70" s="2" t="str">
        <f>"Oddział Onkologii"</f>
        <v>Oddział Onkologii</v>
      </c>
      <c r="F70" s="2">
        <v>2011</v>
      </c>
      <c r="G70" s="2" t="str">
        <f t="shared" si="11"/>
        <v>REXMED</v>
      </c>
      <c r="H70" s="2" t="str">
        <f t="shared" si="9"/>
        <v>12 mies.</v>
      </c>
      <c r="I70" s="2" t="s">
        <v>286</v>
      </c>
    </row>
    <row r="71" spans="1:9" ht="51">
      <c r="A71" s="1" t="s">
        <v>69</v>
      </c>
      <c r="B71" s="2" t="str">
        <f t="shared" si="8"/>
        <v>Ssak elektryczny</v>
      </c>
      <c r="C71" s="2" t="str">
        <f t="shared" si="10"/>
        <v>RSU-131</v>
      </c>
      <c r="D71" s="2" t="str">
        <f>"RSU-131-11020"</f>
        <v>RSU-131-11020</v>
      </c>
      <c r="E71" s="2" t="str">
        <f>"Pracownia Hemodynamiki"</f>
        <v>Pracownia Hemodynamiki</v>
      </c>
      <c r="F71" s="2">
        <v>2011</v>
      </c>
      <c r="G71" s="2" t="str">
        <f t="shared" si="11"/>
        <v>REXMED</v>
      </c>
      <c r="H71" s="2" t="str">
        <f t="shared" si="9"/>
        <v>12 mies.</v>
      </c>
      <c r="I71" s="2" t="s">
        <v>286</v>
      </c>
    </row>
    <row r="72" spans="1:9" ht="51">
      <c r="A72" s="1" t="s">
        <v>70</v>
      </c>
      <c r="B72" s="2" t="str">
        <f t="shared" si="8"/>
        <v>Ssak elektryczny</v>
      </c>
      <c r="C72" s="2" t="str">
        <f t="shared" si="10"/>
        <v>RSU-131</v>
      </c>
      <c r="D72" s="2" t="str">
        <f>"RSU-131-11013"</f>
        <v>RSU-131-11013</v>
      </c>
      <c r="E72" s="2" t="str">
        <f>"Sala Op.Przykliniczna Okulistyczna"</f>
        <v>Sala Op.Przykliniczna Okulistyczna</v>
      </c>
      <c r="F72" s="2">
        <v>2011</v>
      </c>
      <c r="G72" s="2" t="str">
        <f t="shared" si="11"/>
        <v>REXMED</v>
      </c>
      <c r="H72" s="2" t="str">
        <f t="shared" si="9"/>
        <v>12 mies.</v>
      </c>
      <c r="I72" s="2" t="s">
        <v>286</v>
      </c>
    </row>
    <row r="73" spans="1:9" ht="50.25" customHeight="1">
      <c r="A73" s="1" t="s">
        <v>71</v>
      </c>
      <c r="B73" s="2" t="str">
        <f t="shared" si="8"/>
        <v>Ssak elektryczny</v>
      </c>
      <c r="C73" s="2" t="str">
        <f t="shared" si="10"/>
        <v>RSU-131</v>
      </c>
      <c r="D73" s="2" t="str">
        <f>"RSU-131-11012 "</f>
        <v>RSU-131-11012 </v>
      </c>
      <c r="E73" s="2" t="str">
        <f>"Stacja Dializ"</f>
        <v>Stacja Dializ</v>
      </c>
      <c r="F73" s="2">
        <v>2011</v>
      </c>
      <c r="G73" s="2" t="str">
        <f t="shared" si="11"/>
        <v>REXMED</v>
      </c>
      <c r="H73" s="2" t="str">
        <f t="shared" si="9"/>
        <v>12 mies.</v>
      </c>
      <c r="I73" s="2" t="s">
        <v>286</v>
      </c>
    </row>
    <row r="74" spans="1:9" ht="51">
      <c r="A74" s="1" t="s">
        <v>72</v>
      </c>
      <c r="B74" s="2" t="str">
        <f t="shared" si="8"/>
        <v>Ssak elektryczny</v>
      </c>
      <c r="C74" s="2" t="str">
        <f>"SO-4"</f>
        <v>SO-4</v>
      </c>
      <c r="D74" s="2" t="str">
        <f>"19022/1997"</f>
        <v>19022/1997</v>
      </c>
      <c r="E74" s="2" t="s">
        <v>0</v>
      </c>
      <c r="F74" s="2"/>
      <c r="G74" s="2" t="str">
        <f>"OGARIT"</f>
        <v>OGARIT</v>
      </c>
      <c r="H74" s="2" t="str">
        <f t="shared" si="9"/>
        <v>12 mies.</v>
      </c>
      <c r="I74" s="2" t="s">
        <v>286</v>
      </c>
    </row>
    <row r="75" spans="1:9" ht="51">
      <c r="A75" s="1" t="s">
        <v>73</v>
      </c>
      <c r="B75" s="2" t="str">
        <f t="shared" si="8"/>
        <v>Ssak elektryczny</v>
      </c>
      <c r="C75" s="2" t="str">
        <f>"Super Vega"</f>
        <v>Super Vega</v>
      </c>
      <c r="D75" s="2" t="str">
        <f>"1078 "</f>
        <v>1078 </v>
      </c>
      <c r="E75" s="2" t="str">
        <f>"Oddz. Klin. Otolaryng. z P-oddz. Ot.Dziec."</f>
        <v>Oddz. Klin. Otolaryng. z P-oddz. Ot.Dziec.</v>
      </c>
      <c r="F75" s="2">
        <v>2008</v>
      </c>
      <c r="G75" s="2" t="str">
        <f>"GIMA"</f>
        <v>GIMA</v>
      </c>
      <c r="H75" s="2" t="str">
        <f t="shared" si="9"/>
        <v>12 mies.</v>
      </c>
      <c r="I75" s="2" t="s">
        <v>286</v>
      </c>
    </row>
    <row r="76" spans="1:9" ht="51">
      <c r="A76" s="1" t="s">
        <v>74</v>
      </c>
      <c r="B76" s="2" t="str">
        <f t="shared" si="8"/>
        <v>Ssak elektryczny</v>
      </c>
      <c r="C76" s="2" t="str">
        <f>"V7 plus AC"</f>
        <v>V7 plus AC</v>
      </c>
      <c r="D76" s="2" t="str">
        <f>"31971-20-011"</f>
        <v>31971-20-011</v>
      </c>
      <c r="E76" s="2" t="str">
        <f>"Oddz. Klin. Chirurgii Szczękowo-Twarzowej"</f>
        <v>Oddz. Klin. Chirurgii Szczękowo-Twarzowej</v>
      </c>
      <c r="F76" s="2">
        <v>2014</v>
      </c>
      <c r="G76" s="2" t="str">
        <f>"Hersill (Hiszpania)"</f>
        <v>Hersill (Hiszpania)</v>
      </c>
      <c r="H76" s="2" t="str">
        <f t="shared" si="9"/>
        <v>12 mies.</v>
      </c>
      <c r="I76" s="2" t="s">
        <v>286</v>
      </c>
    </row>
    <row r="77" spans="1:9" ht="51">
      <c r="A77" s="1" t="s">
        <v>75</v>
      </c>
      <c r="B77" s="2" t="str">
        <f t="shared" si="8"/>
        <v>Ssak elektryczny</v>
      </c>
      <c r="C77" s="2" t="str">
        <f>"WAN-M-1"</f>
        <v>WAN-M-1</v>
      </c>
      <c r="D77" s="2" t="str">
        <f>"2115"</f>
        <v>2115</v>
      </c>
      <c r="E77" s="2" t="s">
        <v>0</v>
      </c>
      <c r="F77" s="2"/>
      <c r="G77" s="2" t="str">
        <f>"Wytwórnia Aparatów Natryskowych - Gdynia"</f>
        <v>Wytwórnia Aparatów Natryskowych - Gdynia</v>
      </c>
      <c r="H77" s="2" t="str">
        <f t="shared" si="9"/>
        <v>12 mies.</v>
      </c>
      <c r="I77" s="2" t="s">
        <v>286</v>
      </c>
    </row>
    <row r="78" spans="1:9" ht="51">
      <c r="A78" s="1" t="s">
        <v>76</v>
      </c>
      <c r="B78" s="2" t="str">
        <f t="shared" si="8"/>
        <v>Ssak elektryczny</v>
      </c>
      <c r="C78" s="2" t="str">
        <f>"WAN-M2"</f>
        <v>WAN-M2</v>
      </c>
      <c r="D78" s="2" t="str">
        <f>"927"</f>
        <v>927</v>
      </c>
      <c r="E78" s="2" t="str">
        <f>"Klinika Otolaryngologii"</f>
        <v>Klinika Otolaryngologii</v>
      </c>
      <c r="F78" s="2">
        <v>1987</v>
      </c>
      <c r="G78" s="2" t="str">
        <f>"Wytwórnia Aparatów Natryskowych - Gdynia"</f>
        <v>Wytwórnia Aparatów Natryskowych - Gdynia</v>
      </c>
      <c r="H78" s="2" t="str">
        <f t="shared" si="9"/>
        <v>12 mies.</v>
      </c>
      <c r="I78" s="2" t="s">
        <v>286</v>
      </c>
    </row>
    <row r="79" spans="1:9" ht="38.25">
      <c r="A79" s="1" t="s">
        <v>77</v>
      </c>
      <c r="B79" s="2" t="str">
        <f aca="true" t="shared" si="12" ref="B79:B95">"ssak inżektorowy "</f>
        <v>ssak inżektorowy </v>
      </c>
      <c r="C79" s="2" t="str">
        <f aca="true" t="shared" si="13" ref="C79:C95">"MP00535"</f>
        <v>MP00535</v>
      </c>
      <c r="D79" s="2" t="str">
        <f aca="true" t="shared" si="14" ref="D79:D95">"nie posiada"</f>
        <v>nie posiada</v>
      </c>
      <c r="E79" s="2" t="str">
        <f aca="true" t="shared" si="15" ref="E79:E95">"Pediatria (Przylądek Nadziei)"</f>
        <v>Pediatria (Przylądek Nadziei)</v>
      </c>
      <c r="F79" s="2">
        <v>2015</v>
      </c>
      <c r="G79" s="2" t="str">
        <f aca="true" t="shared" si="16" ref="G79:G95">"Drager Polska Sp. z o.o."</f>
        <v>Drager Polska Sp. z o.o.</v>
      </c>
      <c r="H79" s="2" t="str">
        <f t="shared" si="9"/>
        <v>12 mies.</v>
      </c>
      <c r="I79" s="40">
        <v>43732</v>
      </c>
    </row>
    <row r="80" spans="1:9" ht="38.25">
      <c r="A80" s="1" t="s">
        <v>78</v>
      </c>
      <c r="B80" s="2" t="str">
        <f t="shared" si="12"/>
        <v>ssak inżektorowy </v>
      </c>
      <c r="C80" s="2" t="str">
        <f t="shared" si="13"/>
        <v>MP00535</v>
      </c>
      <c r="D80" s="2" t="str">
        <f t="shared" si="14"/>
        <v>nie posiada</v>
      </c>
      <c r="E80" s="2" t="str">
        <f t="shared" si="15"/>
        <v>Pediatria (Przylądek Nadziei)</v>
      </c>
      <c r="F80" s="2">
        <v>2015</v>
      </c>
      <c r="G80" s="2" t="str">
        <f t="shared" si="16"/>
        <v>Drager Polska Sp. z o.o.</v>
      </c>
      <c r="H80" s="2" t="str">
        <f t="shared" si="9"/>
        <v>12 mies.</v>
      </c>
      <c r="I80" s="40">
        <v>43732</v>
      </c>
    </row>
    <row r="81" spans="1:9" ht="38.25">
      <c r="A81" s="1" t="s">
        <v>79</v>
      </c>
      <c r="B81" s="2" t="str">
        <f t="shared" si="12"/>
        <v>ssak inżektorowy </v>
      </c>
      <c r="C81" s="2" t="str">
        <f t="shared" si="13"/>
        <v>MP00535</v>
      </c>
      <c r="D81" s="2" t="str">
        <f t="shared" si="14"/>
        <v>nie posiada</v>
      </c>
      <c r="E81" s="2" t="str">
        <f t="shared" si="15"/>
        <v>Pediatria (Przylądek Nadziei)</v>
      </c>
      <c r="F81" s="2">
        <v>2015</v>
      </c>
      <c r="G81" s="2" t="str">
        <f t="shared" si="16"/>
        <v>Drager Polska Sp. z o.o.</v>
      </c>
      <c r="H81" s="2" t="str">
        <f t="shared" si="9"/>
        <v>12 mies.</v>
      </c>
      <c r="I81" s="40">
        <v>43732</v>
      </c>
    </row>
    <row r="82" spans="1:9" ht="38.25">
      <c r="A82" s="1" t="s">
        <v>80</v>
      </c>
      <c r="B82" s="2" t="str">
        <f t="shared" si="12"/>
        <v>ssak inżektorowy </v>
      </c>
      <c r="C82" s="2" t="str">
        <f t="shared" si="13"/>
        <v>MP00535</v>
      </c>
      <c r="D82" s="2" t="str">
        <f t="shared" si="14"/>
        <v>nie posiada</v>
      </c>
      <c r="E82" s="2" t="str">
        <f t="shared" si="15"/>
        <v>Pediatria (Przylądek Nadziei)</v>
      </c>
      <c r="F82" s="2">
        <v>2015</v>
      </c>
      <c r="G82" s="2" t="str">
        <f t="shared" si="16"/>
        <v>Drager Polska Sp. z o.o.</v>
      </c>
      <c r="H82" s="2" t="str">
        <f t="shared" si="9"/>
        <v>12 mies.</v>
      </c>
      <c r="I82" s="40">
        <v>43732</v>
      </c>
    </row>
    <row r="83" spans="1:9" ht="38.25">
      <c r="A83" s="1" t="s">
        <v>81</v>
      </c>
      <c r="B83" s="2" t="str">
        <f t="shared" si="12"/>
        <v>ssak inżektorowy </v>
      </c>
      <c r="C83" s="2" t="str">
        <f t="shared" si="13"/>
        <v>MP00535</v>
      </c>
      <c r="D83" s="2" t="str">
        <f t="shared" si="14"/>
        <v>nie posiada</v>
      </c>
      <c r="E83" s="2" t="str">
        <f t="shared" si="15"/>
        <v>Pediatria (Przylądek Nadziei)</v>
      </c>
      <c r="F83" s="2">
        <v>2015</v>
      </c>
      <c r="G83" s="2" t="str">
        <f t="shared" si="16"/>
        <v>Drager Polska Sp. z o.o.</v>
      </c>
      <c r="H83" s="2" t="str">
        <f t="shared" si="9"/>
        <v>12 mies.</v>
      </c>
      <c r="I83" s="40">
        <v>43732</v>
      </c>
    </row>
    <row r="84" spans="1:9" ht="38.25">
      <c r="A84" s="1" t="s">
        <v>82</v>
      </c>
      <c r="B84" s="2" t="str">
        <f t="shared" si="12"/>
        <v>ssak inżektorowy </v>
      </c>
      <c r="C84" s="2" t="str">
        <f t="shared" si="13"/>
        <v>MP00535</v>
      </c>
      <c r="D84" s="2" t="str">
        <f t="shared" si="14"/>
        <v>nie posiada</v>
      </c>
      <c r="E84" s="2" t="str">
        <f t="shared" si="15"/>
        <v>Pediatria (Przylądek Nadziei)</v>
      </c>
      <c r="F84" s="2">
        <v>2015</v>
      </c>
      <c r="G84" s="2" t="str">
        <f t="shared" si="16"/>
        <v>Drager Polska Sp. z o.o.</v>
      </c>
      <c r="H84" s="2" t="str">
        <f t="shared" si="9"/>
        <v>12 mies.</v>
      </c>
      <c r="I84" s="40">
        <v>43732</v>
      </c>
    </row>
    <row r="85" spans="1:9" ht="38.25">
      <c r="A85" s="1" t="s">
        <v>83</v>
      </c>
      <c r="B85" s="2" t="str">
        <f t="shared" si="12"/>
        <v>ssak inżektorowy </v>
      </c>
      <c r="C85" s="2" t="str">
        <f t="shared" si="13"/>
        <v>MP00535</v>
      </c>
      <c r="D85" s="2" t="str">
        <f t="shared" si="14"/>
        <v>nie posiada</v>
      </c>
      <c r="E85" s="2" t="str">
        <f t="shared" si="15"/>
        <v>Pediatria (Przylądek Nadziei)</v>
      </c>
      <c r="F85" s="2">
        <v>2015</v>
      </c>
      <c r="G85" s="2" t="str">
        <f t="shared" si="16"/>
        <v>Drager Polska Sp. z o.o.</v>
      </c>
      <c r="H85" s="2" t="str">
        <f t="shared" si="9"/>
        <v>12 mies.</v>
      </c>
      <c r="I85" s="40">
        <v>43732</v>
      </c>
    </row>
    <row r="86" spans="1:9" ht="38.25">
      <c r="A86" s="1" t="s">
        <v>84</v>
      </c>
      <c r="B86" s="2" t="str">
        <f t="shared" si="12"/>
        <v>ssak inżektorowy </v>
      </c>
      <c r="C86" s="2" t="str">
        <f t="shared" si="13"/>
        <v>MP00535</v>
      </c>
      <c r="D86" s="2" t="str">
        <f t="shared" si="14"/>
        <v>nie posiada</v>
      </c>
      <c r="E86" s="2" t="str">
        <f t="shared" si="15"/>
        <v>Pediatria (Przylądek Nadziei)</v>
      </c>
      <c r="F86" s="2">
        <v>2015</v>
      </c>
      <c r="G86" s="2" t="str">
        <f t="shared" si="16"/>
        <v>Drager Polska Sp. z o.o.</v>
      </c>
      <c r="H86" s="2" t="str">
        <f t="shared" si="9"/>
        <v>12 mies.</v>
      </c>
      <c r="I86" s="40">
        <v>43732</v>
      </c>
    </row>
    <row r="87" spans="1:9" ht="38.25">
      <c r="A87" s="1" t="s">
        <v>85</v>
      </c>
      <c r="B87" s="2" t="str">
        <f t="shared" si="12"/>
        <v>ssak inżektorowy </v>
      </c>
      <c r="C87" s="2" t="str">
        <f t="shared" si="13"/>
        <v>MP00535</v>
      </c>
      <c r="D87" s="2" t="str">
        <f t="shared" si="14"/>
        <v>nie posiada</v>
      </c>
      <c r="E87" s="2" t="str">
        <f t="shared" si="15"/>
        <v>Pediatria (Przylądek Nadziei)</v>
      </c>
      <c r="F87" s="2">
        <v>2015</v>
      </c>
      <c r="G87" s="2" t="str">
        <f t="shared" si="16"/>
        <v>Drager Polska Sp. z o.o.</v>
      </c>
      <c r="H87" s="2" t="str">
        <f aca="true" t="shared" si="17" ref="H87:H108">"12 mies."</f>
        <v>12 mies.</v>
      </c>
      <c r="I87" s="40">
        <v>43732</v>
      </c>
    </row>
    <row r="88" spans="1:9" ht="38.25">
      <c r="A88" s="1" t="s">
        <v>86</v>
      </c>
      <c r="B88" s="2" t="str">
        <f t="shared" si="12"/>
        <v>ssak inżektorowy </v>
      </c>
      <c r="C88" s="2" t="str">
        <f t="shared" si="13"/>
        <v>MP00535</v>
      </c>
      <c r="D88" s="2" t="str">
        <f t="shared" si="14"/>
        <v>nie posiada</v>
      </c>
      <c r="E88" s="2" t="str">
        <f t="shared" si="15"/>
        <v>Pediatria (Przylądek Nadziei)</v>
      </c>
      <c r="F88" s="2">
        <v>2015</v>
      </c>
      <c r="G88" s="2" t="str">
        <f t="shared" si="16"/>
        <v>Drager Polska Sp. z o.o.</v>
      </c>
      <c r="H88" s="2" t="str">
        <f t="shared" si="17"/>
        <v>12 mies.</v>
      </c>
      <c r="I88" s="40">
        <v>43732</v>
      </c>
    </row>
    <row r="89" spans="1:9" ht="38.25">
      <c r="A89" s="1" t="s">
        <v>87</v>
      </c>
      <c r="B89" s="2" t="str">
        <f t="shared" si="12"/>
        <v>ssak inżektorowy </v>
      </c>
      <c r="C89" s="2" t="str">
        <f t="shared" si="13"/>
        <v>MP00535</v>
      </c>
      <c r="D89" s="2" t="str">
        <f t="shared" si="14"/>
        <v>nie posiada</v>
      </c>
      <c r="E89" s="2" t="str">
        <f t="shared" si="15"/>
        <v>Pediatria (Przylądek Nadziei)</v>
      </c>
      <c r="F89" s="2">
        <v>2015</v>
      </c>
      <c r="G89" s="2" t="str">
        <f t="shared" si="16"/>
        <v>Drager Polska Sp. z o.o.</v>
      </c>
      <c r="H89" s="2" t="str">
        <f t="shared" si="17"/>
        <v>12 mies.</v>
      </c>
      <c r="I89" s="40">
        <v>43732</v>
      </c>
    </row>
    <row r="90" spans="1:9" ht="38.25">
      <c r="A90" s="1" t="s">
        <v>88</v>
      </c>
      <c r="B90" s="2" t="str">
        <f t="shared" si="12"/>
        <v>ssak inżektorowy </v>
      </c>
      <c r="C90" s="2" t="str">
        <f t="shared" si="13"/>
        <v>MP00535</v>
      </c>
      <c r="D90" s="2" t="str">
        <f t="shared" si="14"/>
        <v>nie posiada</v>
      </c>
      <c r="E90" s="2" t="str">
        <f t="shared" si="15"/>
        <v>Pediatria (Przylądek Nadziei)</v>
      </c>
      <c r="F90" s="2">
        <v>2015</v>
      </c>
      <c r="G90" s="2" t="str">
        <f t="shared" si="16"/>
        <v>Drager Polska Sp. z o.o.</v>
      </c>
      <c r="H90" s="2" t="str">
        <f t="shared" si="17"/>
        <v>12 mies.</v>
      </c>
      <c r="I90" s="40">
        <v>43732</v>
      </c>
    </row>
    <row r="91" spans="1:9" ht="38.25">
      <c r="A91" s="1" t="s">
        <v>89</v>
      </c>
      <c r="B91" s="2" t="str">
        <f t="shared" si="12"/>
        <v>ssak inżektorowy </v>
      </c>
      <c r="C91" s="2" t="str">
        <f t="shared" si="13"/>
        <v>MP00535</v>
      </c>
      <c r="D91" s="2" t="str">
        <f t="shared" si="14"/>
        <v>nie posiada</v>
      </c>
      <c r="E91" s="2" t="str">
        <f t="shared" si="15"/>
        <v>Pediatria (Przylądek Nadziei)</v>
      </c>
      <c r="F91" s="2">
        <v>2015</v>
      </c>
      <c r="G91" s="2" t="str">
        <f t="shared" si="16"/>
        <v>Drager Polska Sp. z o.o.</v>
      </c>
      <c r="H91" s="2" t="str">
        <f t="shared" si="17"/>
        <v>12 mies.</v>
      </c>
      <c r="I91" s="40">
        <v>43732</v>
      </c>
    </row>
    <row r="92" spans="1:9" ht="38.25">
      <c r="A92" s="1" t="s">
        <v>90</v>
      </c>
      <c r="B92" s="2" t="str">
        <f t="shared" si="12"/>
        <v>ssak inżektorowy </v>
      </c>
      <c r="C92" s="2" t="str">
        <f t="shared" si="13"/>
        <v>MP00535</v>
      </c>
      <c r="D92" s="2" t="str">
        <f t="shared" si="14"/>
        <v>nie posiada</v>
      </c>
      <c r="E92" s="2" t="str">
        <f t="shared" si="15"/>
        <v>Pediatria (Przylądek Nadziei)</v>
      </c>
      <c r="F92" s="2">
        <v>2015</v>
      </c>
      <c r="G92" s="2" t="str">
        <f t="shared" si="16"/>
        <v>Drager Polska Sp. z o.o.</v>
      </c>
      <c r="H92" s="2" t="str">
        <f t="shared" si="17"/>
        <v>12 mies.</v>
      </c>
      <c r="I92" s="40">
        <v>43732</v>
      </c>
    </row>
    <row r="93" spans="1:9" ht="38.25">
      <c r="A93" s="1" t="s">
        <v>91</v>
      </c>
      <c r="B93" s="2" t="str">
        <f t="shared" si="12"/>
        <v>ssak inżektorowy </v>
      </c>
      <c r="C93" s="2" t="str">
        <f t="shared" si="13"/>
        <v>MP00535</v>
      </c>
      <c r="D93" s="2" t="str">
        <f t="shared" si="14"/>
        <v>nie posiada</v>
      </c>
      <c r="E93" s="2" t="str">
        <f t="shared" si="15"/>
        <v>Pediatria (Przylądek Nadziei)</v>
      </c>
      <c r="F93" s="2">
        <v>2015</v>
      </c>
      <c r="G93" s="2" t="str">
        <f t="shared" si="16"/>
        <v>Drager Polska Sp. z o.o.</v>
      </c>
      <c r="H93" s="2" t="str">
        <f t="shared" si="17"/>
        <v>12 mies.</v>
      </c>
      <c r="I93" s="40">
        <v>43732</v>
      </c>
    </row>
    <row r="94" spans="1:9" ht="38.25">
      <c r="A94" s="1" t="s">
        <v>92</v>
      </c>
      <c r="B94" s="2" t="str">
        <f t="shared" si="12"/>
        <v>ssak inżektorowy </v>
      </c>
      <c r="C94" s="2" t="str">
        <f t="shared" si="13"/>
        <v>MP00535</v>
      </c>
      <c r="D94" s="2" t="str">
        <f t="shared" si="14"/>
        <v>nie posiada</v>
      </c>
      <c r="E94" s="2" t="str">
        <f t="shared" si="15"/>
        <v>Pediatria (Przylądek Nadziei)</v>
      </c>
      <c r="F94" s="2">
        <v>2015</v>
      </c>
      <c r="G94" s="2" t="str">
        <f t="shared" si="16"/>
        <v>Drager Polska Sp. z o.o.</v>
      </c>
      <c r="H94" s="2" t="str">
        <f t="shared" si="17"/>
        <v>12 mies.</v>
      </c>
      <c r="I94" s="40">
        <v>43732</v>
      </c>
    </row>
    <row r="95" spans="1:9" ht="38.25">
      <c r="A95" s="1" t="s">
        <v>93</v>
      </c>
      <c r="B95" s="2" t="str">
        <f t="shared" si="12"/>
        <v>ssak inżektorowy </v>
      </c>
      <c r="C95" s="2" t="str">
        <f t="shared" si="13"/>
        <v>MP00535</v>
      </c>
      <c r="D95" s="2" t="str">
        <f t="shared" si="14"/>
        <v>nie posiada</v>
      </c>
      <c r="E95" s="2" t="str">
        <f t="shared" si="15"/>
        <v>Pediatria (Przylądek Nadziei)</v>
      </c>
      <c r="F95" s="2">
        <v>2015</v>
      </c>
      <c r="G95" s="2" t="str">
        <f t="shared" si="16"/>
        <v>Drager Polska Sp. z o.o.</v>
      </c>
      <c r="H95" s="2" t="str">
        <f t="shared" si="17"/>
        <v>12 mies.</v>
      </c>
      <c r="I95" s="40">
        <v>43732</v>
      </c>
    </row>
    <row r="96" spans="1:9" ht="64.5" customHeight="1">
      <c r="A96" s="1" t="s">
        <v>94</v>
      </c>
      <c r="B96" s="2" t="str">
        <f aca="true" t="shared" si="18" ref="B96:B108">"ssak operacyjny "</f>
        <v>ssak operacyjny </v>
      </c>
      <c r="C96" s="2" t="str">
        <f aca="true" t="shared" si="19" ref="C96:C108">"SO- 5 Tornado"</f>
        <v>SO- 5 Tornado</v>
      </c>
      <c r="D96" s="2" t="str">
        <f>"0101/188/07 "</f>
        <v>0101/188/07 </v>
      </c>
      <c r="E96" s="2" t="str">
        <f>"Dział Anestezjologii"</f>
        <v>Dział Anestezjologii</v>
      </c>
      <c r="F96" s="2">
        <v>2007</v>
      </c>
      <c r="G96" s="2" t="str">
        <f aca="true" t="shared" si="20" ref="G96:G108">"OGARIT"</f>
        <v>OGARIT</v>
      </c>
      <c r="H96" s="2" t="str">
        <f t="shared" si="17"/>
        <v>12 mies.</v>
      </c>
      <c r="I96" s="2" t="s">
        <v>286</v>
      </c>
    </row>
    <row r="97" spans="1:9" ht="68.25" customHeight="1">
      <c r="A97" s="1" t="s">
        <v>95</v>
      </c>
      <c r="B97" s="2" t="str">
        <f t="shared" si="18"/>
        <v>ssak operacyjny </v>
      </c>
      <c r="C97" s="2" t="str">
        <f t="shared" si="19"/>
        <v>SO- 5 Tornado</v>
      </c>
      <c r="D97" s="2" t="str">
        <f>"0101/189/07 "</f>
        <v>0101/189/07 </v>
      </c>
      <c r="E97" s="2" t="str">
        <f>"Dział Anestezjologii"</f>
        <v>Dział Anestezjologii</v>
      </c>
      <c r="F97" s="2">
        <v>2007</v>
      </c>
      <c r="G97" s="2" t="str">
        <f t="shared" si="20"/>
        <v>OGARIT</v>
      </c>
      <c r="H97" s="2" t="str">
        <f t="shared" si="17"/>
        <v>12 mies.</v>
      </c>
      <c r="I97" s="2" t="s">
        <v>286</v>
      </c>
    </row>
    <row r="98" spans="1:9" ht="51">
      <c r="A98" s="1" t="s">
        <v>96</v>
      </c>
      <c r="B98" s="2" t="str">
        <f t="shared" si="18"/>
        <v>ssak operacyjny </v>
      </c>
      <c r="C98" s="2" t="str">
        <f t="shared" si="19"/>
        <v>SO- 5 Tornado</v>
      </c>
      <c r="D98" s="2" t="str">
        <f>"0101/234/08"</f>
        <v>0101/234/08</v>
      </c>
      <c r="E98" s="2" t="str">
        <f>"Oddz. Klin. Anestezjologii i Inten.Terapii"</f>
        <v>Oddz. Klin. Anestezjologii i Inten.Terapii</v>
      </c>
      <c r="F98" s="2">
        <v>2008</v>
      </c>
      <c r="G98" s="2" t="str">
        <f t="shared" si="20"/>
        <v>OGARIT</v>
      </c>
      <c r="H98" s="2" t="str">
        <f t="shared" si="17"/>
        <v>12 mies.</v>
      </c>
      <c r="I98" s="2" t="s">
        <v>286</v>
      </c>
    </row>
    <row r="99" spans="1:9" ht="51">
      <c r="A99" s="1" t="s">
        <v>97</v>
      </c>
      <c r="B99" s="2" t="str">
        <f t="shared" si="18"/>
        <v>ssak operacyjny </v>
      </c>
      <c r="C99" s="2" t="str">
        <f t="shared" si="19"/>
        <v>SO- 5 Tornado</v>
      </c>
      <c r="D99" s="2" t="str">
        <f>"0101/235/08"</f>
        <v>0101/235/08</v>
      </c>
      <c r="E99" s="2" t="str">
        <f>"Oddz. Klin. Anestezjologii i Inten.Terapii"</f>
        <v>Oddz. Klin. Anestezjologii i Inten.Terapii</v>
      </c>
      <c r="F99" s="2">
        <v>2008</v>
      </c>
      <c r="G99" s="2" t="str">
        <f t="shared" si="20"/>
        <v>OGARIT</v>
      </c>
      <c r="H99" s="2" t="str">
        <f t="shared" si="17"/>
        <v>12 mies.</v>
      </c>
      <c r="I99" s="2" t="s">
        <v>286</v>
      </c>
    </row>
    <row r="100" spans="1:9" ht="51">
      <c r="A100" s="1" t="s">
        <v>98</v>
      </c>
      <c r="B100" s="2" t="str">
        <f t="shared" si="18"/>
        <v>ssak operacyjny </v>
      </c>
      <c r="C100" s="2" t="str">
        <f t="shared" si="19"/>
        <v>SO- 5 Tornado</v>
      </c>
      <c r="D100" s="2" t="str">
        <f>"0101/187/07 "</f>
        <v>0101/187/07 </v>
      </c>
      <c r="E100" s="2" t="str">
        <f>"Oddz. Klin. Chorób Wewn.i Zawodowych    "</f>
        <v>Oddz. Klin. Chorób Wewn.i Zawodowych    </v>
      </c>
      <c r="F100" s="2">
        <v>2007</v>
      </c>
      <c r="G100" s="2" t="str">
        <f t="shared" si="20"/>
        <v>OGARIT</v>
      </c>
      <c r="H100" s="2" t="str">
        <f t="shared" si="17"/>
        <v>12 mies.</v>
      </c>
      <c r="I100" s="2" t="s">
        <v>286</v>
      </c>
    </row>
    <row r="101" spans="1:9" ht="51">
      <c r="A101" s="1" t="s">
        <v>99</v>
      </c>
      <c r="B101" s="2" t="str">
        <f t="shared" si="18"/>
        <v>ssak operacyjny </v>
      </c>
      <c r="C101" s="2" t="str">
        <f t="shared" si="19"/>
        <v>SO- 5 Tornado</v>
      </c>
      <c r="D101" s="2" t="str">
        <f>"0101/232/08"</f>
        <v>0101/232/08</v>
      </c>
      <c r="E101" s="2" t="str">
        <f>"Oddz. Klin. Chorób Wewn.i Zawodowych    "</f>
        <v>Oddz. Klin. Chorób Wewn.i Zawodowych    </v>
      </c>
      <c r="F101" s="2">
        <v>2008</v>
      </c>
      <c r="G101" s="2" t="str">
        <f t="shared" si="20"/>
        <v>OGARIT</v>
      </c>
      <c r="H101" s="2" t="str">
        <f t="shared" si="17"/>
        <v>12 mies.</v>
      </c>
      <c r="I101" s="2" t="s">
        <v>286</v>
      </c>
    </row>
    <row r="102" spans="1:9" ht="51">
      <c r="A102" s="1" t="s">
        <v>100</v>
      </c>
      <c r="B102" s="2" t="str">
        <f t="shared" si="18"/>
        <v>ssak operacyjny </v>
      </c>
      <c r="C102" s="2" t="str">
        <f t="shared" si="19"/>
        <v>SO- 5 Tornado</v>
      </c>
      <c r="D102" s="2" t="str">
        <f>"0101/233/08 "</f>
        <v>0101/233/08 </v>
      </c>
      <c r="E102" s="2" t="str">
        <f>"Oddz. Klin. Chorób Wewn.i Zawodowych    "</f>
        <v>Oddz. Klin. Chorób Wewn.i Zawodowych    </v>
      </c>
      <c r="F102" s="2">
        <v>2008</v>
      </c>
      <c r="G102" s="2" t="str">
        <f t="shared" si="20"/>
        <v>OGARIT</v>
      </c>
      <c r="H102" s="2" t="str">
        <f t="shared" si="17"/>
        <v>12 mies.</v>
      </c>
      <c r="I102" s="2" t="s">
        <v>286</v>
      </c>
    </row>
    <row r="103" spans="1:9" ht="51">
      <c r="A103" s="1" t="s">
        <v>101</v>
      </c>
      <c r="B103" s="2" t="str">
        <f t="shared" si="18"/>
        <v>ssak operacyjny </v>
      </c>
      <c r="C103" s="2" t="str">
        <f t="shared" si="19"/>
        <v>SO- 5 Tornado</v>
      </c>
      <c r="D103" s="2" t="str">
        <f>"0101/230/08 "</f>
        <v>0101/230/08 </v>
      </c>
      <c r="E103" s="2" t="str">
        <f>"Oddz. Klin. Intensywnej Terapii Dziecięcej"</f>
        <v>Oddz. Klin. Intensywnej Terapii Dziecięcej</v>
      </c>
      <c r="F103" s="2">
        <v>2008</v>
      </c>
      <c r="G103" s="2" t="str">
        <f t="shared" si="20"/>
        <v>OGARIT</v>
      </c>
      <c r="H103" s="2" t="str">
        <f t="shared" si="17"/>
        <v>12 mies.</v>
      </c>
      <c r="I103" s="2" t="s">
        <v>286</v>
      </c>
    </row>
    <row r="104" spans="1:9" ht="51">
      <c r="A104" s="1" t="s">
        <v>102</v>
      </c>
      <c r="B104" s="2" t="str">
        <f t="shared" si="18"/>
        <v>ssak operacyjny </v>
      </c>
      <c r="C104" s="2" t="str">
        <f t="shared" si="19"/>
        <v>SO- 5 Tornado</v>
      </c>
      <c r="D104" s="2" t="str">
        <f>"0101/228/08 "</f>
        <v>0101/228/08 </v>
      </c>
      <c r="E104" s="2" t="str">
        <f>"Oddz. Klin. Neurochirurgiczny z P-oddz.IOM"</f>
        <v>Oddz. Klin. Neurochirurgiczny z P-oddz.IOM</v>
      </c>
      <c r="F104" s="2">
        <v>2008</v>
      </c>
      <c r="G104" s="2" t="str">
        <f t="shared" si="20"/>
        <v>OGARIT</v>
      </c>
      <c r="H104" s="2" t="str">
        <f t="shared" si="17"/>
        <v>12 mies.</v>
      </c>
      <c r="I104" s="2" t="s">
        <v>286</v>
      </c>
    </row>
    <row r="105" spans="1:9" ht="51">
      <c r="A105" s="1" t="s">
        <v>103</v>
      </c>
      <c r="B105" s="2" t="str">
        <f t="shared" si="18"/>
        <v>ssak operacyjny </v>
      </c>
      <c r="C105" s="2" t="str">
        <f t="shared" si="19"/>
        <v>SO- 5 Tornado</v>
      </c>
      <c r="D105" s="2" t="str">
        <f>"0101/229/08 "</f>
        <v>0101/229/08 </v>
      </c>
      <c r="E105" s="2" t="str">
        <f>"Oddz. Klin. Neurochirurgiczny z P-oddz.IOM"</f>
        <v>Oddz. Klin. Neurochirurgiczny z P-oddz.IOM</v>
      </c>
      <c r="F105" s="2">
        <v>2008</v>
      </c>
      <c r="G105" s="2" t="str">
        <f t="shared" si="20"/>
        <v>OGARIT</v>
      </c>
      <c r="H105" s="2" t="str">
        <f t="shared" si="17"/>
        <v>12 mies.</v>
      </c>
      <c r="I105" s="2" t="s">
        <v>286</v>
      </c>
    </row>
    <row r="106" spans="1:9" ht="51" customHeight="1">
      <c r="A106" s="1" t="s">
        <v>104</v>
      </c>
      <c r="B106" s="2" t="str">
        <f t="shared" si="18"/>
        <v>ssak operacyjny </v>
      </c>
      <c r="C106" s="2" t="str">
        <f t="shared" si="19"/>
        <v>SO- 5 Tornado</v>
      </c>
      <c r="D106" s="2" t="str">
        <f>"0101/231/08 "</f>
        <v>0101/231/08 </v>
      </c>
      <c r="E106" s="2" t="str">
        <f>"Oddział Onkologii"</f>
        <v>Oddział Onkologii</v>
      </c>
      <c r="F106" s="2">
        <v>2008</v>
      </c>
      <c r="G106" s="2" t="str">
        <f t="shared" si="20"/>
        <v>OGARIT</v>
      </c>
      <c r="H106" s="2" t="str">
        <f t="shared" si="17"/>
        <v>12 mies.</v>
      </c>
      <c r="I106" s="2" t="s">
        <v>286</v>
      </c>
    </row>
    <row r="107" spans="1:9" ht="57" customHeight="1">
      <c r="A107" s="1" t="s">
        <v>105</v>
      </c>
      <c r="B107" s="2" t="str">
        <f t="shared" si="18"/>
        <v>ssak operacyjny </v>
      </c>
      <c r="C107" s="2" t="str">
        <f t="shared" si="19"/>
        <v>SO- 5 Tornado</v>
      </c>
      <c r="D107" s="2" t="str">
        <f>"0101/227/08 "</f>
        <v>0101/227/08 </v>
      </c>
      <c r="E107" s="2" t="str">
        <f>"Oddział Onkologii"</f>
        <v>Oddział Onkologii</v>
      </c>
      <c r="F107" s="2">
        <v>2008</v>
      </c>
      <c r="G107" s="2" t="str">
        <f t="shared" si="20"/>
        <v>OGARIT</v>
      </c>
      <c r="H107" s="2" t="str">
        <f t="shared" si="17"/>
        <v>12 mies.</v>
      </c>
      <c r="I107" s="2" t="s">
        <v>286</v>
      </c>
    </row>
    <row r="108" spans="1:9" ht="51">
      <c r="A108" s="1" t="s">
        <v>106</v>
      </c>
      <c r="B108" s="2" t="str">
        <f t="shared" si="18"/>
        <v>ssak operacyjny </v>
      </c>
      <c r="C108" s="2" t="str">
        <f t="shared" si="19"/>
        <v>SO- 5 Tornado</v>
      </c>
      <c r="D108" s="2" t="str">
        <f>"0101/003/04"</f>
        <v>0101/003/04</v>
      </c>
      <c r="E108" s="2" t="str">
        <f>"Pracownia Tomografii Komputerowej"</f>
        <v>Pracownia Tomografii Komputerowej</v>
      </c>
      <c r="F108" s="2"/>
      <c r="G108" s="2" t="str">
        <f t="shared" si="20"/>
        <v>OGARIT</v>
      </c>
      <c r="H108" s="2" t="str">
        <f t="shared" si="17"/>
        <v>12 mies.</v>
      </c>
      <c r="I108" s="2" t="s">
        <v>286</v>
      </c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"/>
      <c r="B110" s="67" t="s">
        <v>114</v>
      </c>
      <c r="C110" s="67"/>
      <c r="D110" s="3"/>
      <c r="E110" s="3"/>
      <c r="F110" s="3"/>
      <c r="G110" s="67" t="s">
        <v>115</v>
      </c>
      <c r="H110" s="67"/>
      <c r="I110" s="67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57" t="s">
        <v>119</v>
      </c>
      <c r="B112" s="57"/>
      <c r="C112" s="57"/>
      <c r="D112" s="57"/>
      <c r="E112" s="57"/>
      <c r="F112" s="57"/>
      <c r="G112" s="57"/>
      <c r="H112" s="57"/>
      <c r="I112" s="57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51">
      <c r="A114" s="1" t="s">
        <v>1</v>
      </c>
      <c r="B114" s="2" t="str">
        <f>"Nazwa urządzenia"</f>
        <v>Nazwa urządzenia</v>
      </c>
      <c r="C114" s="2" t="str">
        <f>"Typ"</f>
        <v>Typ</v>
      </c>
      <c r="D114" s="2" t="str">
        <f>"Nr Seryjny"</f>
        <v>Nr Seryjny</v>
      </c>
      <c r="E114" s="2" t="str">
        <f>"Jednostka Organizacyjna"</f>
        <v>Jednostka Organizacyjna</v>
      </c>
      <c r="F114" s="2" t="str">
        <f>"Rok Produkcji"</f>
        <v>Rok Produkcji</v>
      </c>
      <c r="G114" s="2" t="str">
        <f>"Producent"</f>
        <v>Producent</v>
      </c>
      <c r="H114" s="2" t="str">
        <f>"Częst. przeglądu"</f>
        <v>Częst. przeglądu</v>
      </c>
      <c r="I114" s="2" t="s">
        <v>117</v>
      </c>
    </row>
    <row r="115" spans="1:9" ht="51">
      <c r="A115" s="1" t="s">
        <v>2</v>
      </c>
      <c r="B115" s="2" t="str">
        <f>"Kapnograf z pulsoksymetrem"</f>
        <v>Kapnograf z pulsoksymetrem</v>
      </c>
      <c r="C115" s="2" t="str">
        <f>"NPB-75/USA"</f>
        <v>NPB-75/USA</v>
      </c>
      <c r="D115" s="2" t="str">
        <f>"97208394 "</f>
        <v>97208394 </v>
      </c>
      <c r="E115" s="2" t="str">
        <f>"Dział Anestezjologii"</f>
        <v>Dział Anestezjologii</v>
      </c>
      <c r="F115" s="2">
        <v>2002</v>
      </c>
      <c r="G115" s="2" t="str">
        <f>"Nellcor"</f>
        <v>Nellcor</v>
      </c>
      <c r="H115" s="2" t="str">
        <f>"12 mies."</f>
        <v>12 mies.</v>
      </c>
      <c r="I115" s="2" t="s">
        <v>286</v>
      </c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/>
      <c r="B117" s="67" t="s">
        <v>114</v>
      </c>
      <c r="C117" s="67"/>
      <c r="D117" s="3"/>
      <c r="E117" s="3"/>
      <c r="F117" s="3"/>
      <c r="G117" s="67" t="s">
        <v>115</v>
      </c>
      <c r="H117" s="67"/>
      <c r="I117" s="67"/>
    </row>
    <row r="118" spans="1:9" ht="15">
      <c r="A118" s="3"/>
      <c r="B118" s="5"/>
      <c r="C118" s="5"/>
      <c r="D118" s="3"/>
      <c r="E118" s="3"/>
      <c r="F118" s="3"/>
      <c r="G118" s="5"/>
      <c r="H118" s="5"/>
      <c r="I118" s="5"/>
    </row>
    <row r="119" spans="1:9" ht="15">
      <c r="A119" s="3"/>
      <c r="B119" s="5"/>
      <c r="C119" s="5"/>
      <c r="D119" s="3"/>
      <c r="E119" s="3"/>
      <c r="F119" s="3"/>
      <c r="G119" s="5"/>
      <c r="H119" s="5"/>
      <c r="I119" s="5"/>
    </row>
    <row r="120" spans="1:9" ht="15">
      <c r="A120" s="3"/>
      <c r="B120" s="5"/>
      <c r="C120" s="5"/>
      <c r="D120" s="3"/>
      <c r="E120" s="3"/>
      <c r="F120" s="3"/>
      <c r="G120" s="5"/>
      <c r="H120" s="5"/>
      <c r="I120" s="5"/>
    </row>
    <row r="121" spans="1:9" ht="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66" t="s">
        <v>120</v>
      </c>
      <c r="B122" s="66"/>
      <c r="C122" s="66"/>
      <c r="D122" s="66"/>
      <c r="E122" s="66"/>
      <c r="F122" s="66"/>
      <c r="G122" s="66"/>
      <c r="H122" s="66"/>
      <c r="I122" s="66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51">
      <c r="A124" s="1" t="s">
        <v>1</v>
      </c>
      <c r="B124" s="2" t="str">
        <f>"Nazwa urządzenia"</f>
        <v>Nazwa urządzenia</v>
      </c>
      <c r="C124" s="2" t="str">
        <f>"Typ"</f>
        <v>Typ</v>
      </c>
      <c r="D124" s="2" t="str">
        <f>"Nr Seryjny"</f>
        <v>Nr Seryjny</v>
      </c>
      <c r="E124" s="2" t="str">
        <f>"Jednostka Organizacyjna"</f>
        <v>Jednostka Organizacyjna</v>
      </c>
      <c r="F124" s="2" t="str">
        <f>"Rok Produkcji"</f>
        <v>Rok Produkcji</v>
      </c>
      <c r="G124" s="2" t="str">
        <f>"Producent"</f>
        <v>Producent</v>
      </c>
      <c r="H124" s="2" t="str">
        <f>"Częst. przeglądu"</f>
        <v>Częst. przeglądu</v>
      </c>
      <c r="I124" s="2" t="s">
        <v>117</v>
      </c>
    </row>
    <row r="125" spans="1:9" ht="63.75">
      <c r="A125" s="1" t="s">
        <v>2</v>
      </c>
      <c r="B125" s="2" t="str">
        <f>"Szyna do ciągłego ruchu w obrębie stawu barkowego "</f>
        <v>Szyna do ciągłego ruchu w obrębie stawu barkowego </v>
      </c>
      <c r="C125" s="41" t="str">
        <f>"ARTROMOT-S3 comfort"</f>
        <v>ARTROMOT-S3 comfort</v>
      </c>
      <c r="D125" s="2" t="str">
        <f>"11861 "</f>
        <v>11861 </v>
      </c>
      <c r="E125" s="2" t="s">
        <v>0</v>
      </c>
      <c r="F125" s="2">
        <v>2011</v>
      </c>
      <c r="G125" s="2" t="str">
        <f aca="true" t="shared" si="21" ref="G125:G143">"ORMED GmbH Germany"</f>
        <v>ORMED GmbH Germany</v>
      </c>
      <c r="H125" s="2" t="str">
        <f aca="true" t="shared" si="22" ref="H125:H143">"12 mies."</f>
        <v>12 mies.</v>
      </c>
      <c r="I125" s="2" t="s">
        <v>286</v>
      </c>
    </row>
    <row r="126" spans="1:9" ht="63.75">
      <c r="A126" s="1" t="s">
        <v>3</v>
      </c>
      <c r="B126" s="2" t="str">
        <f>"Szyna do ciągłego ruchu w obrębie stawu barkowego "</f>
        <v>Szyna do ciągłego ruchu w obrębie stawu barkowego </v>
      </c>
      <c r="C126" s="41" t="str">
        <f>"ARTROMOT-S3 comfort"</f>
        <v>ARTROMOT-S3 comfort</v>
      </c>
      <c r="D126" s="2" t="str">
        <f>"5986 "</f>
        <v>5986 </v>
      </c>
      <c r="E126" s="2" t="str">
        <f>"Oddz. Klin. Chir. Urazowo-Ortopedycznej"</f>
        <v>Oddz. Klin. Chir. Urazowo-Ortopedycznej</v>
      </c>
      <c r="F126" s="2">
        <v>2007</v>
      </c>
      <c r="G126" s="2" t="str">
        <f t="shared" si="21"/>
        <v>ORMED GmbH Germany</v>
      </c>
      <c r="H126" s="2" t="str">
        <f t="shared" si="22"/>
        <v>12 mies.</v>
      </c>
      <c r="I126" s="2" t="s">
        <v>286</v>
      </c>
    </row>
    <row r="127" spans="1:9" ht="63.75">
      <c r="A127" s="1" t="s">
        <v>4</v>
      </c>
      <c r="B127" s="2" t="str">
        <f>"Szyna do ciągłego ruchu w obrębie stawu barkowego "</f>
        <v>Szyna do ciągłego ruchu w obrębie stawu barkowego </v>
      </c>
      <c r="C127" s="41" t="str">
        <f>"ARTROMOT-S3 comfort"</f>
        <v>ARTROMOT-S3 comfort</v>
      </c>
      <c r="D127" s="2" t="str">
        <f>"7386 "</f>
        <v>7386 </v>
      </c>
      <c r="E127" s="2" t="str">
        <f>"Oddz. Klin. Chir. Urazowo-Ortopedycznej"</f>
        <v>Oddz. Klin. Chir. Urazowo-Ortopedycznej</v>
      </c>
      <c r="F127" s="2">
        <v>2008</v>
      </c>
      <c r="G127" s="2" t="str">
        <f t="shared" si="21"/>
        <v>ORMED GmbH Germany</v>
      </c>
      <c r="H127" s="2" t="str">
        <f t="shared" si="22"/>
        <v>12 mies.</v>
      </c>
      <c r="I127" s="2" t="s">
        <v>286</v>
      </c>
    </row>
    <row r="128" spans="1:9" ht="63.75">
      <c r="A128" s="1" t="s">
        <v>5</v>
      </c>
      <c r="B128" s="2" t="str">
        <f aca="true" t="shared" si="23" ref="B128:B135">"Szyna do ćwiczeń biernych kończyny dolnej "</f>
        <v>Szyna do ćwiczeń biernych kończyny dolnej </v>
      </c>
      <c r="C128" s="41" t="str">
        <f aca="true" t="shared" si="24" ref="C128:C134">"ARTROMOT-K1 comfort z elektrostymulatorem"</f>
        <v>ARTROMOT-K1 comfort z elektrostymulatorem</v>
      </c>
      <c r="D128" s="2" t="str">
        <f>"13685"</f>
        <v>13685</v>
      </c>
      <c r="E128" s="2" t="s">
        <v>0</v>
      </c>
      <c r="F128" s="2">
        <v>2011</v>
      </c>
      <c r="G128" s="2" t="str">
        <f t="shared" si="21"/>
        <v>ORMED GmbH Germany</v>
      </c>
      <c r="H128" s="2" t="str">
        <f t="shared" si="22"/>
        <v>12 mies.</v>
      </c>
      <c r="I128" s="2" t="s">
        <v>286</v>
      </c>
    </row>
    <row r="129" spans="1:9" ht="63.75">
      <c r="A129" s="1" t="s">
        <v>6</v>
      </c>
      <c r="B129" s="2" t="str">
        <f t="shared" si="23"/>
        <v>Szyna do ćwiczeń biernych kończyny dolnej </v>
      </c>
      <c r="C129" s="41" t="str">
        <f t="shared" si="24"/>
        <v>ARTROMOT-K1 comfort z elektrostymulatorem</v>
      </c>
      <c r="D129" s="2" t="str">
        <f>"2429 + 8805102"</f>
        <v>2429 + 8805102</v>
      </c>
      <c r="E129" s="2" t="str">
        <f aca="true" t="shared" si="25" ref="E129:E135">"Oddz. Klin. Chir. Urazowo-Ortopedycznej"</f>
        <v>Oddz. Klin. Chir. Urazowo-Ortopedycznej</v>
      </c>
      <c r="F129" s="2">
        <v>2007</v>
      </c>
      <c r="G129" s="2" t="str">
        <f t="shared" si="21"/>
        <v>ORMED GmbH Germany</v>
      </c>
      <c r="H129" s="2" t="str">
        <f t="shared" si="22"/>
        <v>12 mies.</v>
      </c>
      <c r="I129" s="2" t="s">
        <v>286</v>
      </c>
    </row>
    <row r="130" spans="1:9" ht="63.75">
      <c r="A130" s="1" t="s">
        <v>7</v>
      </c>
      <c r="B130" s="2" t="str">
        <f t="shared" si="23"/>
        <v>Szyna do ćwiczeń biernych kończyny dolnej </v>
      </c>
      <c r="C130" s="41" t="str">
        <f t="shared" si="24"/>
        <v>ARTROMOT-K1 comfort z elektrostymulatorem</v>
      </c>
      <c r="D130" s="2" t="str">
        <f>"2490 + 8805103 (zaginął)"</f>
        <v>2490 + 8805103 (zaginął)</v>
      </c>
      <c r="E130" s="2" t="str">
        <f t="shared" si="25"/>
        <v>Oddz. Klin. Chir. Urazowo-Ortopedycznej</v>
      </c>
      <c r="F130" s="2">
        <v>2007</v>
      </c>
      <c r="G130" s="2" t="str">
        <f t="shared" si="21"/>
        <v>ORMED GmbH Germany</v>
      </c>
      <c r="H130" s="2" t="str">
        <f t="shared" si="22"/>
        <v>12 mies.</v>
      </c>
      <c r="I130" s="2" t="s">
        <v>286</v>
      </c>
    </row>
    <row r="131" spans="1:9" ht="63.75">
      <c r="A131" s="1" t="s">
        <v>8</v>
      </c>
      <c r="B131" s="2" t="str">
        <f t="shared" si="23"/>
        <v>Szyna do ćwiczeń biernych kończyny dolnej </v>
      </c>
      <c r="C131" s="41" t="str">
        <f t="shared" si="24"/>
        <v>ARTROMOT-K1 comfort z elektrostymulatorem</v>
      </c>
      <c r="D131" s="2" t="str">
        <f>"3119 + 8806124"</f>
        <v>3119 + 8806124</v>
      </c>
      <c r="E131" s="2" t="str">
        <f t="shared" si="25"/>
        <v>Oddz. Klin. Chir. Urazowo-Ortopedycznej</v>
      </c>
      <c r="F131" s="2">
        <v>2008</v>
      </c>
      <c r="G131" s="2" t="str">
        <f t="shared" si="21"/>
        <v>ORMED GmbH Germany</v>
      </c>
      <c r="H131" s="2" t="str">
        <f t="shared" si="22"/>
        <v>12 mies.</v>
      </c>
      <c r="I131" s="2" t="s">
        <v>286</v>
      </c>
    </row>
    <row r="132" spans="1:9" ht="63.75">
      <c r="A132" s="1" t="s">
        <v>9</v>
      </c>
      <c r="B132" s="2" t="str">
        <f t="shared" si="23"/>
        <v>Szyna do ćwiczeń biernych kończyny dolnej </v>
      </c>
      <c r="C132" s="41" t="str">
        <f t="shared" si="24"/>
        <v>ARTROMOT-K1 comfort z elektrostymulatorem</v>
      </c>
      <c r="D132" s="2" t="str">
        <f>"3235 + 8806143"</f>
        <v>3235 + 8806143</v>
      </c>
      <c r="E132" s="2" t="str">
        <f t="shared" si="25"/>
        <v>Oddz. Klin. Chir. Urazowo-Ortopedycznej</v>
      </c>
      <c r="F132" s="2">
        <v>2008</v>
      </c>
      <c r="G132" s="2" t="str">
        <f t="shared" si="21"/>
        <v>ORMED GmbH Germany</v>
      </c>
      <c r="H132" s="2" t="str">
        <f t="shared" si="22"/>
        <v>12 mies.</v>
      </c>
      <c r="I132" s="2" t="s">
        <v>286</v>
      </c>
    </row>
    <row r="133" spans="1:9" ht="63.75">
      <c r="A133" s="1" t="s">
        <v>10</v>
      </c>
      <c r="B133" s="2" t="str">
        <f t="shared" si="23"/>
        <v>Szyna do ćwiczeń biernych kończyny dolnej </v>
      </c>
      <c r="C133" s="41" t="str">
        <f t="shared" si="24"/>
        <v>ARTROMOT-K1 comfort z elektrostymulatorem</v>
      </c>
      <c r="D133" s="2" t="str">
        <f>"3118 + 8806123"</f>
        <v>3118 + 8806123</v>
      </c>
      <c r="E133" s="2" t="str">
        <f t="shared" si="25"/>
        <v>Oddz. Klin. Chir. Urazowo-Ortopedycznej</v>
      </c>
      <c r="F133" s="2">
        <v>2008</v>
      </c>
      <c r="G133" s="2" t="str">
        <f t="shared" si="21"/>
        <v>ORMED GmbH Germany</v>
      </c>
      <c r="H133" s="2" t="str">
        <f t="shared" si="22"/>
        <v>12 mies.</v>
      </c>
      <c r="I133" s="2" t="s">
        <v>286</v>
      </c>
    </row>
    <row r="134" spans="1:9" ht="63.75">
      <c r="A134" s="1" t="s">
        <v>11</v>
      </c>
      <c r="B134" s="2" t="str">
        <f t="shared" si="23"/>
        <v>Szyna do ćwiczeń biernych kończyny dolnej </v>
      </c>
      <c r="C134" s="41" t="str">
        <f t="shared" si="24"/>
        <v>ARTROMOT-K1 comfort z elektrostymulatorem</v>
      </c>
      <c r="D134" s="2" t="str">
        <f>"2489 + 8806146"</f>
        <v>2489 + 8806146</v>
      </c>
      <c r="E134" s="2" t="str">
        <f t="shared" si="25"/>
        <v>Oddz. Klin. Chir. Urazowo-Ortopedycznej</v>
      </c>
      <c r="F134" s="2">
        <v>2007</v>
      </c>
      <c r="G134" s="2" t="str">
        <f t="shared" si="21"/>
        <v>ORMED GmbH Germany</v>
      </c>
      <c r="H134" s="2" t="str">
        <f t="shared" si="22"/>
        <v>12 mies.</v>
      </c>
      <c r="I134" s="2" t="s">
        <v>286</v>
      </c>
    </row>
    <row r="135" spans="1:9" ht="63.75">
      <c r="A135" s="1" t="s">
        <v>12</v>
      </c>
      <c r="B135" s="2" t="str">
        <f t="shared" si="23"/>
        <v>Szyna do ćwiczeń biernych kończyny dolnej </v>
      </c>
      <c r="C135" s="41" t="str">
        <f>"ARTROMOT-K2"</f>
        <v>ARTROMOT-K2</v>
      </c>
      <c r="D135" s="2" t="str">
        <f>"4108"</f>
        <v>4108</v>
      </c>
      <c r="E135" s="2" t="str">
        <f t="shared" si="25"/>
        <v>Oddz. Klin. Chir. Urazowo-Ortopedycznej</v>
      </c>
      <c r="F135" s="2">
        <v>1996</v>
      </c>
      <c r="G135" s="2" t="str">
        <f t="shared" si="21"/>
        <v>ORMED GmbH Germany</v>
      </c>
      <c r="H135" s="2" t="str">
        <f t="shared" si="22"/>
        <v>12 mies.</v>
      </c>
      <c r="I135" s="2" t="s">
        <v>286</v>
      </c>
    </row>
    <row r="136" spans="1:9" ht="76.5">
      <c r="A136" s="1" t="s">
        <v>13</v>
      </c>
      <c r="B136" s="2" t="s">
        <v>107</v>
      </c>
      <c r="C136" s="41" t="str">
        <f>"Artromot-SP3 comfort chip"</f>
        <v>Artromot-SP3 comfort chip</v>
      </c>
      <c r="D136" s="2" t="str">
        <f>"20282"</f>
        <v>20282</v>
      </c>
      <c r="E136" s="2" t="str">
        <f>"Przychodnia przykliniczna (Przylądek Nadziei)"</f>
        <v>Przychodnia przykliniczna (Przylądek Nadziei)</v>
      </c>
      <c r="F136" s="2">
        <v>2015</v>
      </c>
      <c r="G136" s="2" t="str">
        <f t="shared" si="21"/>
        <v>ORMED GmbH Germany</v>
      </c>
      <c r="H136" s="2" t="str">
        <f t="shared" si="22"/>
        <v>12 mies.</v>
      </c>
      <c r="I136" s="40">
        <v>43820</v>
      </c>
    </row>
    <row r="137" spans="1:9" ht="76.5">
      <c r="A137" s="1" t="s">
        <v>14</v>
      </c>
      <c r="B137" s="2" t="s">
        <v>107</v>
      </c>
      <c r="C137" s="41" t="str">
        <f>"Artromot-SP3 comfort chip"</f>
        <v>Artromot-SP3 comfort chip</v>
      </c>
      <c r="D137" s="2" t="str">
        <f>"20287"</f>
        <v>20287</v>
      </c>
      <c r="E137" s="2" t="str">
        <f>"Przychodnia przykliniczna (Przylądek Nadziei)"</f>
        <v>Przychodnia przykliniczna (Przylądek Nadziei)</v>
      </c>
      <c r="F137" s="2">
        <v>2015</v>
      </c>
      <c r="G137" s="2" t="str">
        <f t="shared" si="21"/>
        <v>ORMED GmbH Germany</v>
      </c>
      <c r="H137" s="2" t="str">
        <f t="shared" si="22"/>
        <v>12 mies.</v>
      </c>
      <c r="I137" s="40">
        <v>43820</v>
      </c>
    </row>
    <row r="138" spans="1:9" ht="63.75">
      <c r="A138" s="1" t="s">
        <v>15</v>
      </c>
      <c r="B138" s="2" t="str">
        <f>"Szyna do ruchów kończyn górnych i dolnych"</f>
        <v>Szyna do ruchów kończyn górnych i dolnych</v>
      </c>
      <c r="C138" s="41" t="str">
        <f>"THERA-vital color tetra"</f>
        <v>THERA-vital color tetra</v>
      </c>
      <c r="D138" s="2" t="str">
        <f>"TT007321039 "</f>
        <v>TT007321039 </v>
      </c>
      <c r="E138" s="2" t="str">
        <f>"Oddz. Klin. Chir. Urazowo-Ortopedycznej"</f>
        <v>Oddz. Klin. Chir. Urazowo-Ortopedycznej</v>
      </c>
      <c r="F138" s="2">
        <v>2007</v>
      </c>
      <c r="G138" s="2" t="str">
        <f t="shared" si="21"/>
        <v>ORMED GmbH Germany</v>
      </c>
      <c r="H138" s="2" t="str">
        <f t="shared" si="22"/>
        <v>12 mies.</v>
      </c>
      <c r="I138" s="2" t="s">
        <v>286</v>
      </c>
    </row>
    <row r="139" spans="1:9" ht="63.75">
      <c r="A139" s="1" t="s">
        <v>16</v>
      </c>
      <c r="B139" s="2" t="str">
        <f>"Szyna do ruchów kończyn górnych i dolnych"</f>
        <v>Szyna do ruchów kończyn górnych i dolnych</v>
      </c>
      <c r="C139" s="41" t="str">
        <f>"THERA-vital color tetra"</f>
        <v>THERA-vital color tetra</v>
      </c>
      <c r="D139" s="2" t="str">
        <f>"TT008042091"</f>
        <v>TT008042091</v>
      </c>
      <c r="E139" s="2" t="str">
        <f>"Oddz. Klin. Chir. Urazowo-Ortopedycznej"</f>
        <v>Oddz. Klin. Chir. Urazowo-Ortopedycznej</v>
      </c>
      <c r="F139" s="2">
        <v>2007</v>
      </c>
      <c r="G139" s="2" t="str">
        <f t="shared" si="21"/>
        <v>ORMED GmbH Germany</v>
      </c>
      <c r="H139" s="2" t="str">
        <f t="shared" si="22"/>
        <v>12 mies.</v>
      </c>
      <c r="I139" s="2" t="s">
        <v>286</v>
      </c>
    </row>
    <row r="140" spans="1:9" ht="102">
      <c r="A140" s="1" t="s">
        <v>17</v>
      </c>
      <c r="B140" s="2" t="s">
        <v>108</v>
      </c>
      <c r="C140" s="41" t="str">
        <f>"Artromot Active-K"</f>
        <v>Artromot Active-K</v>
      </c>
      <c r="D140" s="2" t="str">
        <f>"2882"</f>
        <v>2882</v>
      </c>
      <c r="E140" s="2" t="str">
        <f>"Przychodnia przykliniczna (Przylądek Nadziei)"</f>
        <v>Przychodnia przykliniczna (Przylądek Nadziei)</v>
      </c>
      <c r="F140" s="2">
        <v>2015</v>
      </c>
      <c r="G140" s="2" t="str">
        <f t="shared" si="21"/>
        <v>ORMED GmbH Germany</v>
      </c>
      <c r="H140" s="2" t="str">
        <f t="shared" si="22"/>
        <v>12 mies.</v>
      </c>
      <c r="I140" s="40">
        <v>43820</v>
      </c>
    </row>
    <row r="141" spans="1:9" ht="102">
      <c r="A141" s="1" t="s">
        <v>18</v>
      </c>
      <c r="B141" s="2" t="s">
        <v>108</v>
      </c>
      <c r="C141" s="41" t="str">
        <f>"Artromot Active-K"</f>
        <v>Artromot Active-K</v>
      </c>
      <c r="D141" s="2" t="str">
        <f>"2883"</f>
        <v>2883</v>
      </c>
      <c r="E141" s="2" t="str">
        <f>"Przychodnia przykliniczna (Przylądek Nadziei)"</f>
        <v>Przychodnia przykliniczna (Przylądek Nadziei)</v>
      </c>
      <c r="F141" s="2">
        <v>2015</v>
      </c>
      <c r="G141" s="2" t="str">
        <f t="shared" si="21"/>
        <v>ORMED GmbH Germany</v>
      </c>
      <c r="H141" s="2" t="str">
        <f t="shared" si="22"/>
        <v>12 mies.</v>
      </c>
      <c r="I141" s="40">
        <v>43820</v>
      </c>
    </row>
    <row r="142" spans="1:9" ht="76.5">
      <c r="A142" s="1" t="s">
        <v>19</v>
      </c>
      <c r="B142" s="2" t="s">
        <v>109</v>
      </c>
      <c r="C142" s="2" t="str">
        <f>"Artromot-K1 comfort chip"</f>
        <v>Artromot-K1 comfort chip</v>
      </c>
      <c r="D142" s="2" t="str">
        <f>"27598"</f>
        <v>27598</v>
      </c>
      <c r="E142" s="2" t="str">
        <f>"Przychodnia przykliniczna (Przylądek Nadziei)"</f>
        <v>Przychodnia przykliniczna (Przylądek Nadziei)</v>
      </c>
      <c r="F142" s="2">
        <v>2015</v>
      </c>
      <c r="G142" s="2" t="str">
        <f t="shared" si="21"/>
        <v>ORMED GmbH Germany</v>
      </c>
      <c r="H142" s="2" t="str">
        <f t="shared" si="22"/>
        <v>12 mies.</v>
      </c>
      <c r="I142" s="40">
        <v>43820</v>
      </c>
    </row>
    <row r="143" spans="1:9" ht="76.5">
      <c r="A143" s="1" t="s">
        <v>20</v>
      </c>
      <c r="B143" s="2" t="s">
        <v>109</v>
      </c>
      <c r="C143" s="2" t="str">
        <f>"Artromot-K1 comfort chip"</f>
        <v>Artromot-K1 comfort chip</v>
      </c>
      <c r="D143" s="2" t="str">
        <f>"27599"</f>
        <v>27599</v>
      </c>
      <c r="E143" s="2" t="str">
        <f>"Przychodnia przykliniczna (Przylądek Nadziei)"</f>
        <v>Przychodnia przykliniczna (Przylądek Nadziei)</v>
      </c>
      <c r="F143" s="2">
        <v>2015</v>
      </c>
      <c r="G143" s="2" t="str">
        <f t="shared" si="21"/>
        <v>ORMED GmbH Germany</v>
      </c>
      <c r="H143" s="2" t="str">
        <f t="shared" si="22"/>
        <v>12 mies.</v>
      </c>
      <c r="I143" s="40">
        <v>43820</v>
      </c>
    </row>
    <row r="144" spans="1:9" ht="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/>
      <c r="B145" s="67" t="s">
        <v>114</v>
      </c>
      <c r="C145" s="67"/>
      <c r="D145" s="3"/>
      <c r="E145" s="3"/>
      <c r="F145" s="3"/>
      <c r="G145" s="67" t="s">
        <v>115</v>
      </c>
      <c r="H145" s="67"/>
      <c r="I145" s="67"/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67" t="s">
        <v>121</v>
      </c>
      <c r="B147" s="67"/>
      <c r="C147" s="67"/>
      <c r="D147" s="67"/>
      <c r="E147" s="67"/>
      <c r="F147" s="67"/>
      <c r="G147" s="67"/>
      <c r="H147" s="67"/>
      <c r="I147" s="67"/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51">
      <c r="A149" s="1" t="s">
        <v>1</v>
      </c>
      <c r="B149" s="2" t="str">
        <f>"Nazwa urządzenia"</f>
        <v>Nazwa urządzenia</v>
      </c>
      <c r="C149" s="2" t="str">
        <f>"Typ"</f>
        <v>Typ</v>
      </c>
      <c r="D149" s="2" t="str">
        <f>"Nr Seryjny"</f>
        <v>Nr Seryjny</v>
      </c>
      <c r="E149" s="2" t="str">
        <f>"Jednostka Organizacyjna"</f>
        <v>Jednostka Organizacyjna</v>
      </c>
      <c r="F149" s="2" t="str">
        <f>"Rok Produkcji"</f>
        <v>Rok Produkcji</v>
      </c>
      <c r="G149" s="2" t="str">
        <f>"Producent"</f>
        <v>Producent</v>
      </c>
      <c r="H149" s="2" t="str">
        <f>"Częst. przeglądu"</f>
        <v>Częst. przeglądu</v>
      </c>
      <c r="I149" s="2" t="s">
        <v>117</v>
      </c>
    </row>
    <row r="150" spans="1:9" ht="63.75">
      <c r="A150" s="1" t="s">
        <v>2</v>
      </c>
      <c r="B150" s="2" t="str">
        <f>"Szyna do ciągłego ruchu w obrębie stawu barkowego "</f>
        <v>Szyna do ciągłego ruchu w obrębie stawu barkowego </v>
      </c>
      <c r="C150" s="2" t="str">
        <f>"LEG TENSOR / VECTOR "</f>
        <v>LEG TENSOR / VECTOR </v>
      </c>
      <c r="D150" s="2" t="str">
        <f>"00449/2010"</f>
        <v>00449/2010</v>
      </c>
      <c r="E150" s="2" t="str">
        <f>"Uniwersyteckie Centrum Rehabilitacji"</f>
        <v>Uniwersyteckie Centrum Rehabilitacji</v>
      </c>
      <c r="F150" s="2">
        <v>2010</v>
      </c>
      <c r="G150" s="2" t="str">
        <f>"AC International EAST"</f>
        <v>AC International EAST</v>
      </c>
      <c r="H150" s="2" t="str">
        <f>"12 mies."</f>
        <v>12 mies.</v>
      </c>
      <c r="I150" s="2" t="s">
        <v>286</v>
      </c>
    </row>
    <row r="151" spans="1:9" ht="63.75">
      <c r="A151" s="1" t="s">
        <v>3</v>
      </c>
      <c r="B151" s="2" t="str">
        <f>"Szyna do ćwiczeń biernych kończyny dolnej "</f>
        <v>Szyna do ćwiczeń biernych kończyny dolnej </v>
      </c>
      <c r="C151" s="2" t="str">
        <f>"2000 TS"</f>
        <v>2000 TS</v>
      </c>
      <c r="D151" s="2" t="str">
        <f>"03663 "</f>
        <v>03663 </v>
      </c>
      <c r="E151" s="2" t="str">
        <f>"Uniwersyteckie Centrum Rehabilitacji"</f>
        <v>Uniwersyteckie Centrum Rehabilitacji</v>
      </c>
      <c r="F151" s="2">
        <v>2010</v>
      </c>
      <c r="G151" s="2" t="str">
        <f>"RIMEC"</f>
        <v>RIMEC</v>
      </c>
      <c r="H151" s="2" t="str">
        <f>"12 mies."</f>
        <v>12 mies.</v>
      </c>
      <c r="I151" s="2" t="s">
        <v>286</v>
      </c>
    </row>
    <row r="152" spans="1:9" ht="63.75">
      <c r="A152" s="1" t="s">
        <v>4</v>
      </c>
      <c r="B152" s="2" t="str">
        <f>"Szyna do ćwiczeń biernych kończyny dolnej "</f>
        <v>Szyna do ćwiczeń biernych kończyny dolnej </v>
      </c>
      <c r="C152" s="2" t="str">
        <f>"2000 TS"</f>
        <v>2000 TS</v>
      </c>
      <c r="D152" s="2" t="str">
        <f>"03662 "</f>
        <v>03662 </v>
      </c>
      <c r="E152" s="2" t="str">
        <f>"Uniwersyteckie Centrum Rehabilitacji"</f>
        <v>Uniwersyteckie Centrum Rehabilitacji</v>
      </c>
      <c r="F152" s="2">
        <v>2010</v>
      </c>
      <c r="G152" s="2" t="str">
        <f>"RIMEC"</f>
        <v>RIMEC</v>
      </c>
      <c r="H152" s="2" t="str">
        <f>"12 mies."</f>
        <v>12 mies.</v>
      </c>
      <c r="I152" s="2" t="s">
        <v>286</v>
      </c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/>
      <c r="B154" s="67" t="s">
        <v>114</v>
      </c>
      <c r="C154" s="67"/>
      <c r="D154" s="3"/>
      <c r="E154" s="3"/>
      <c r="F154" s="3"/>
      <c r="G154" s="67" t="s">
        <v>115</v>
      </c>
      <c r="H154" s="67"/>
      <c r="I154" s="67"/>
    </row>
    <row r="155" spans="1:9" ht="15">
      <c r="A155" s="3"/>
      <c r="B155" s="5"/>
      <c r="C155" s="5"/>
      <c r="D155" s="3"/>
      <c r="E155" s="3"/>
      <c r="F155" s="3"/>
      <c r="G155" s="5"/>
      <c r="H155" s="5"/>
      <c r="I155" s="5"/>
    </row>
    <row r="156" spans="1:9" ht="15">
      <c r="A156" s="3"/>
      <c r="B156" s="5"/>
      <c r="C156" s="5"/>
      <c r="D156" s="3"/>
      <c r="E156" s="3"/>
      <c r="F156" s="3"/>
      <c r="G156" s="5"/>
      <c r="H156" s="5"/>
      <c r="I156" s="5"/>
    </row>
    <row r="157" spans="1:9" ht="15">
      <c r="A157" s="3"/>
      <c r="B157" s="5"/>
      <c r="C157" s="5"/>
      <c r="D157" s="3"/>
      <c r="E157" s="3"/>
      <c r="F157" s="3"/>
      <c r="G157" s="5"/>
      <c r="H157" s="5"/>
      <c r="I157" s="5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67" t="s">
        <v>122</v>
      </c>
      <c r="B159" s="67"/>
      <c r="C159" s="67"/>
      <c r="D159" s="67"/>
      <c r="E159" s="67"/>
      <c r="F159" s="67"/>
      <c r="G159" s="67"/>
      <c r="H159" s="67"/>
      <c r="I159" s="67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51">
      <c r="A161" s="1" t="s">
        <v>1</v>
      </c>
      <c r="B161" s="4" t="str">
        <f>"Nazwa urządzenia"</f>
        <v>Nazwa urządzenia</v>
      </c>
      <c r="C161" s="4" t="str">
        <f>"Typ"</f>
        <v>Typ</v>
      </c>
      <c r="D161" s="4" t="str">
        <f>"Nr Seryjny"</f>
        <v>Nr Seryjny</v>
      </c>
      <c r="E161" s="4" t="str">
        <f>"Jednostka Organizacyjna"</f>
        <v>Jednostka Organizacyjna</v>
      </c>
      <c r="F161" s="4" t="str">
        <f>"Rok Produkcji"</f>
        <v>Rok Produkcji</v>
      </c>
      <c r="G161" s="4" t="str">
        <f>"Producent"</f>
        <v>Producent</v>
      </c>
      <c r="H161" s="4" t="str">
        <f>"Częst. przeglądu"</f>
        <v>Częst. przeglądu</v>
      </c>
      <c r="I161" s="2" t="s">
        <v>117</v>
      </c>
    </row>
    <row r="162" spans="1:9" ht="63.75">
      <c r="A162" s="1" t="s">
        <v>2</v>
      </c>
      <c r="B162" s="2" t="s">
        <v>110</v>
      </c>
      <c r="C162" s="2" t="str">
        <f>"APT-5"</f>
        <v>APT-5</v>
      </c>
      <c r="D162" s="2" t="str">
        <f>"32001005012 "</f>
        <v>32001005012 </v>
      </c>
      <c r="E162" s="2" t="str">
        <f>"Uniwersyteckie Centrum Rehabilitacji"</f>
        <v>Uniwersyteckie Centrum Rehabilitacji</v>
      </c>
      <c r="F162" s="2">
        <v>2010</v>
      </c>
      <c r="G162" s="2" t="str">
        <f>"TZORA"</f>
        <v>TZORA</v>
      </c>
      <c r="H162" s="2" t="str">
        <f>"12 mies."</f>
        <v>12 mies.</v>
      </c>
      <c r="I162" s="2" t="s">
        <v>286</v>
      </c>
    </row>
    <row r="163" spans="1:9" ht="63.75">
      <c r="A163" s="1" t="s">
        <v>3</v>
      </c>
      <c r="B163" s="2" t="s">
        <v>110</v>
      </c>
      <c r="C163" s="2" t="str">
        <f>"APT-5"</f>
        <v>APT-5</v>
      </c>
      <c r="D163" s="2" t="str">
        <f>"32001005013 "</f>
        <v>32001005013 </v>
      </c>
      <c r="E163" s="2" t="str">
        <f>"Uniwersyteckie Centrum Rehabilitacji"</f>
        <v>Uniwersyteckie Centrum Rehabilitacji</v>
      </c>
      <c r="F163" s="2">
        <v>2010</v>
      </c>
      <c r="G163" s="2" t="str">
        <f>"TZORA"</f>
        <v>TZORA</v>
      </c>
      <c r="H163" s="2" t="str">
        <f>"12 mies."</f>
        <v>12 mies.</v>
      </c>
      <c r="I163" s="2" t="s">
        <v>286</v>
      </c>
    </row>
    <row r="164" spans="1:9" ht="63.75">
      <c r="A164" s="1" t="s">
        <v>4</v>
      </c>
      <c r="B164" s="2" t="s">
        <v>111</v>
      </c>
      <c r="C164" s="2" t="str">
        <f>"APT-5-S"</f>
        <v>APT-5-S</v>
      </c>
      <c r="D164" s="2" t="str">
        <f>"32001005014 "</f>
        <v>32001005014 </v>
      </c>
      <c r="E164" s="2" t="str">
        <f>"Uniwersyteckie Centrum Rehabilitacji"</f>
        <v>Uniwersyteckie Centrum Rehabilitacji</v>
      </c>
      <c r="F164" s="2">
        <v>2010</v>
      </c>
      <c r="G164" s="2" t="str">
        <f>"TZORA"</f>
        <v>TZORA</v>
      </c>
      <c r="H164" s="2" t="str">
        <f>"12 mies."</f>
        <v>12 mies.</v>
      </c>
      <c r="I164" s="2" t="s">
        <v>286</v>
      </c>
    </row>
    <row r="165" spans="1:9" ht="63.75">
      <c r="A165" s="1" t="s">
        <v>5</v>
      </c>
      <c r="B165" s="2" t="s">
        <v>111</v>
      </c>
      <c r="C165" s="2" t="str">
        <f>"APT-5-S"</f>
        <v>APT-5-S</v>
      </c>
      <c r="D165" s="2" t="str">
        <f>"32001005015 "</f>
        <v>32001005015 </v>
      </c>
      <c r="E165" s="2" t="str">
        <f>"Uniwersyteckie Centrum Rehabilitacji"</f>
        <v>Uniwersyteckie Centrum Rehabilitacji</v>
      </c>
      <c r="F165" s="2">
        <v>2010</v>
      </c>
      <c r="G165" s="2" t="str">
        <f>"TZORA"</f>
        <v>TZORA</v>
      </c>
      <c r="H165" s="2" t="str">
        <f>"12 mies."</f>
        <v>12 mies.</v>
      </c>
      <c r="I165" s="2" t="s">
        <v>286</v>
      </c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/>
      <c r="B167" s="67" t="s">
        <v>114</v>
      </c>
      <c r="C167" s="67"/>
      <c r="D167" s="3"/>
      <c r="E167" s="3"/>
      <c r="F167" s="3"/>
      <c r="G167" s="67" t="s">
        <v>115</v>
      </c>
      <c r="H167" s="67"/>
      <c r="I167" s="67"/>
    </row>
    <row r="168" spans="1:9" ht="15">
      <c r="A168" s="3"/>
      <c r="B168" s="5"/>
      <c r="C168" s="5"/>
      <c r="D168" s="3"/>
      <c r="E168" s="3"/>
      <c r="F168" s="3"/>
      <c r="G168" s="5"/>
      <c r="H168" s="5"/>
      <c r="I168" s="5"/>
    </row>
    <row r="169" spans="1:9" ht="15">
      <c r="A169" s="3"/>
      <c r="B169" s="5"/>
      <c r="C169" s="5"/>
      <c r="D169" s="3"/>
      <c r="E169" s="3"/>
      <c r="F169" s="3"/>
      <c r="G169" s="5"/>
      <c r="H169" s="5"/>
      <c r="I169" s="5"/>
    </row>
    <row r="170" spans="1:9" ht="15">
      <c r="A170" s="3"/>
      <c r="B170" s="5"/>
      <c r="C170" s="5"/>
      <c r="D170" s="3"/>
      <c r="E170" s="3"/>
      <c r="F170" s="3"/>
      <c r="G170" s="5"/>
      <c r="H170" s="5"/>
      <c r="I170" s="5"/>
    </row>
    <row r="171" spans="1:9" ht="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67" t="s">
        <v>123</v>
      </c>
      <c r="B172" s="67"/>
      <c r="C172" s="67"/>
      <c r="D172" s="67"/>
      <c r="E172" s="67"/>
      <c r="F172" s="67"/>
      <c r="G172" s="67"/>
      <c r="H172" s="67"/>
      <c r="I172" s="67"/>
    </row>
    <row r="173" spans="1:9" ht="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38.25">
      <c r="A174" s="1" t="s">
        <v>1</v>
      </c>
      <c r="B174" s="2" t="str">
        <f>"Nazwa urządzenia"</f>
        <v>Nazwa urządzenia</v>
      </c>
      <c r="C174" s="2" t="str">
        <f>"Typ"</f>
        <v>Typ</v>
      </c>
      <c r="D174" s="2" t="str">
        <f>"Nr Seryjny"</f>
        <v>Nr Seryjny</v>
      </c>
      <c r="E174" s="2" t="str">
        <f>"Jednostka Organizacyjna"</f>
        <v>Jednostka Organizacyjna</v>
      </c>
      <c r="F174" s="2" t="str">
        <f>"Rok Produkcji"</f>
        <v>Rok Produkcji</v>
      </c>
      <c r="G174" s="2" t="str">
        <f>"Producent"</f>
        <v>Producent</v>
      </c>
      <c r="H174" s="2" t="str">
        <f>"Częst. przeglądu"</f>
        <v>Częst. przeglądu</v>
      </c>
      <c r="I174" s="2" t="str">
        <f>"Data nastepnego przeglądu"</f>
        <v>Data nastepnego przeglądu</v>
      </c>
    </row>
    <row r="175" spans="1:9" ht="51">
      <c r="A175" s="1" t="s">
        <v>2</v>
      </c>
      <c r="B175" s="2" t="str">
        <f>"Rotor kończyn dolnych"</f>
        <v>Rotor kończyn dolnych</v>
      </c>
      <c r="C175" s="2" t="str">
        <f>"RD-1"</f>
        <v>RD-1</v>
      </c>
      <c r="D175" s="2" t="str">
        <f>"126/06/15"</f>
        <v>126/06/15</v>
      </c>
      <c r="E175" s="2" t="str">
        <f>"Rehabilitacja (Przylądek Nadziei)"</f>
        <v>Rehabilitacja (Przylądek Nadziei)</v>
      </c>
      <c r="F175" s="2">
        <v>2015</v>
      </c>
      <c r="G175" s="2" t="str">
        <f>"Tech-med Opole"</f>
        <v>Tech-med Opole</v>
      </c>
      <c r="H175" s="2" t="str">
        <f>"12 mies."</f>
        <v>12 mies.</v>
      </c>
      <c r="I175" s="2" t="s">
        <v>286</v>
      </c>
    </row>
    <row r="176" spans="1:9" ht="51">
      <c r="A176" s="1" t="s">
        <v>3</v>
      </c>
      <c r="B176" s="2" t="str">
        <f>"Rotor kończyn dolnych"</f>
        <v>Rotor kończyn dolnych</v>
      </c>
      <c r="C176" s="2" t="str">
        <f>"RD-1"</f>
        <v>RD-1</v>
      </c>
      <c r="D176" s="2" t="str">
        <f>"125/06/15"</f>
        <v>125/06/15</v>
      </c>
      <c r="E176" s="2" t="str">
        <f>"Rehabilitacja (Przylądek Nadziei)"</f>
        <v>Rehabilitacja (Przylądek Nadziei)</v>
      </c>
      <c r="F176" s="2">
        <v>2015</v>
      </c>
      <c r="G176" s="2" t="str">
        <f>"Tech-med Opole"</f>
        <v>Tech-med Opole</v>
      </c>
      <c r="H176" s="2" t="str">
        <f>"12 mies."</f>
        <v>12 mies.</v>
      </c>
      <c r="I176" s="2" t="s">
        <v>286</v>
      </c>
    </row>
    <row r="177" spans="1:9" ht="51">
      <c r="A177" s="1" t="s">
        <v>4</v>
      </c>
      <c r="B177" s="2" t="str">
        <f>"Rotor kończyn dolnych"</f>
        <v>Rotor kończyn dolnych</v>
      </c>
      <c r="C177" s="2" t="str">
        <f>"RD-1"</f>
        <v>RD-1</v>
      </c>
      <c r="D177" s="2" t="str">
        <f>"123/06/15"</f>
        <v>123/06/15</v>
      </c>
      <c r="E177" s="2" t="str">
        <f>"Rehabilitacja (Przylądek Nadziei)"</f>
        <v>Rehabilitacja (Przylądek Nadziei)</v>
      </c>
      <c r="F177" s="2">
        <v>2015</v>
      </c>
      <c r="G177" s="2" t="str">
        <f>"Tech-med Opole"</f>
        <v>Tech-med Opole</v>
      </c>
      <c r="H177" s="2" t="str">
        <f>"12 mies."</f>
        <v>12 mies.</v>
      </c>
      <c r="I177" s="2" t="s">
        <v>286</v>
      </c>
    </row>
    <row r="178" spans="1:9" ht="51">
      <c r="A178" s="1" t="s">
        <v>5</v>
      </c>
      <c r="B178" s="2" t="str">
        <f>"Rotor kończyn dolnych"</f>
        <v>Rotor kończyn dolnych</v>
      </c>
      <c r="C178" s="2" t="str">
        <f>"RD-1"</f>
        <v>RD-1</v>
      </c>
      <c r="D178" s="2" t="str">
        <f>"127/06/15"</f>
        <v>127/06/15</v>
      </c>
      <c r="E178" s="2" t="str">
        <f>"Rehabilitacja (Przylądek Nadziei)"</f>
        <v>Rehabilitacja (Przylądek Nadziei)</v>
      </c>
      <c r="F178" s="2">
        <v>2015</v>
      </c>
      <c r="G178" s="2" t="str">
        <f>"Tech-med Opole"</f>
        <v>Tech-med Opole</v>
      </c>
      <c r="H178" s="2" t="str">
        <f>"12 mies."</f>
        <v>12 mies.</v>
      </c>
      <c r="I178" s="2" t="s">
        <v>286</v>
      </c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"/>
      <c r="B180" s="67" t="s">
        <v>114</v>
      </c>
      <c r="C180" s="67"/>
      <c r="D180" s="3"/>
      <c r="E180" s="3"/>
      <c r="F180" s="3"/>
      <c r="G180" s="67" t="s">
        <v>115</v>
      </c>
      <c r="H180" s="67"/>
      <c r="I180" s="67"/>
    </row>
    <row r="181" spans="1:9" ht="15">
      <c r="A181" s="3"/>
      <c r="B181" s="5"/>
      <c r="C181" s="5"/>
      <c r="D181" s="3"/>
      <c r="E181" s="3"/>
      <c r="F181" s="3"/>
      <c r="G181" s="5"/>
      <c r="H181" s="5"/>
      <c r="I181" s="5"/>
    </row>
    <row r="182" spans="1:9" ht="15">
      <c r="A182" s="3"/>
      <c r="B182" s="5"/>
      <c r="C182" s="5"/>
      <c r="D182" s="3"/>
      <c r="E182" s="3"/>
      <c r="F182" s="3"/>
      <c r="G182" s="5"/>
      <c r="H182" s="5"/>
      <c r="I182" s="5"/>
    </row>
    <row r="183" spans="1:9" ht="15">
      <c r="A183" s="3"/>
      <c r="B183" s="5"/>
      <c r="C183" s="5"/>
      <c r="D183" s="3"/>
      <c r="E183" s="3"/>
      <c r="F183" s="3"/>
      <c r="G183" s="5"/>
      <c r="H183" s="5"/>
      <c r="I183" s="5"/>
    </row>
    <row r="184" spans="1:9" ht="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67" t="s">
        <v>124</v>
      </c>
      <c r="B185" s="67"/>
      <c r="C185" s="67"/>
      <c r="D185" s="67"/>
      <c r="E185" s="67"/>
      <c r="F185" s="67"/>
      <c r="G185" s="67"/>
      <c r="H185" s="67"/>
      <c r="I185" s="67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51">
      <c r="A187" s="1" t="s">
        <v>1</v>
      </c>
      <c r="B187" s="2" t="str">
        <f>"Nazwa urządzenia"</f>
        <v>Nazwa urządzenia</v>
      </c>
      <c r="C187" s="2" t="str">
        <f>"Typ"</f>
        <v>Typ</v>
      </c>
      <c r="D187" s="2" t="str">
        <f>"Nr Seryjny"</f>
        <v>Nr Seryjny</v>
      </c>
      <c r="E187" s="2" t="str">
        <f>"Jednostka Organizacyjna"</f>
        <v>Jednostka Organizacyjna</v>
      </c>
      <c r="F187" s="2" t="str">
        <f>"Rok Produkcji"</f>
        <v>Rok Produkcji</v>
      </c>
      <c r="G187" s="2" t="str">
        <f>"Producent"</f>
        <v>Producent</v>
      </c>
      <c r="H187" s="2" t="str">
        <f>"Częst. przeglądu"</f>
        <v>Częst. przeglądu</v>
      </c>
      <c r="I187" s="2" t="s">
        <v>117</v>
      </c>
    </row>
    <row r="188" spans="1:9" ht="102">
      <c r="A188" s="1" t="s">
        <v>2</v>
      </c>
      <c r="B188" s="2" t="s">
        <v>112</v>
      </c>
      <c r="C188" s="2" t="str">
        <f>"MOTOMED LETTO 2"</f>
        <v>MOTOMED LETTO 2</v>
      </c>
      <c r="D188" s="2" t="str">
        <f>"B24-LET2-003012"</f>
        <v>B24-LET2-003012</v>
      </c>
      <c r="E188" s="2" t="str">
        <f>"Przychodnia przykliniczna (Przylądek Nadziei)"</f>
        <v>Przychodnia przykliniczna (Przylądek Nadziei)</v>
      </c>
      <c r="F188" s="2">
        <v>2015</v>
      </c>
      <c r="G188" s="2" t="str">
        <f>"RECK-Technik GmbH&amp;Co.KG"</f>
        <v>RECK-Technik GmbH&amp;Co.KG</v>
      </c>
      <c r="H188" s="2" t="str">
        <f>"12 mies."</f>
        <v>12 mies.</v>
      </c>
      <c r="I188" s="2" t="s">
        <v>286</v>
      </c>
    </row>
    <row r="189" spans="1:9" ht="89.25">
      <c r="A189" s="1" t="s">
        <v>3</v>
      </c>
      <c r="B189" s="2" t="s">
        <v>113</v>
      </c>
      <c r="C189" s="2" t="str">
        <f>"MOTOMED GRACILE"</f>
        <v>MOTOMED GRACILE</v>
      </c>
      <c r="D189" s="2" t="str">
        <f>"B-24-KIG12003014"</f>
        <v>B-24-KIG12003014</v>
      </c>
      <c r="E189" s="2" t="str">
        <f>"Przychodnia przykliniczna (Przylądek Nadziei)"</f>
        <v>Przychodnia przykliniczna (Przylądek Nadziei)</v>
      </c>
      <c r="F189" s="2">
        <v>2015</v>
      </c>
      <c r="G189" s="2" t="str">
        <f>"RECK-Technik GmbH&amp;Co.KG"</f>
        <v>RECK-Technik GmbH&amp;Co.KG</v>
      </c>
      <c r="H189" s="2" t="str">
        <f>"12 mies."</f>
        <v>12 mies.</v>
      </c>
      <c r="I189" s="2" t="s">
        <v>286</v>
      </c>
    </row>
    <row r="190" spans="1:9" ht="89.25">
      <c r="A190" s="1" t="s">
        <v>4</v>
      </c>
      <c r="B190" s="2" t="s">
        <v>113</v>
      </c>
      <c r="C190" s="2" t="str">
        <f>"MOTOMED GRACILE"</f>
        <v>MOTOMED GRACILE</v>
      </c>
      <c r="D190" s="2" t="str">
        <f>"B-24-KIG12003013"</f>
        <v>B-24-KIG12003013</v>
      </c>
      <c r="E190" s="2" t="str">
        <f>"Przychodnia przykliniczna (Przylądek Nadziei)"</f>
        <v>Przychodnia przykliniczna (Przylądek Nadziei)</v>
      </c>
      <c r="F190" s="2">
        <v>2015</v>
      </c>
      <c r="G190" s="2" t="str">
        <f>"RECK-Technik GmbH&amp;Co.KG"</f>
        <v>RECK-Technik GmbH&amp;Co.KG</v>
      </c>
      <c r="H190" s="2" t="str">
        <f>"12 mies."</f>
        <v>12 mies.</v>
      </c>
      <c r="I190" s="2" t="s">
        <v>286</v>
      </c>
    </row>
    <row r="191" spans="1:9" ht="1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3"/>
      <c r="B192" s="67" t="s">
        <v>114</v>
      </c>
      <c r="C192" s="67"/>
      <c r="D192" s="3"/>
      <c r="E192" s="3"/>
      <c r="F192" s="3"/>
      <c r="G192" s="67" t="s">
        <v>115</v>
      </c>
      <c r="H192" s="67"/>
      <c r="I192" s="67"/>
    </row>
    <row r="193" spans="1:9" ht="15">
      <c r="A193" s="3"/>
      <c r="B193" s="5"/>
      <c r="C193" s="5"/>
      <c r="D193" s="3"/>
      <c r="E193" s="3"/>
      <c r="F193" s="3"/>
      <c r="G193" s="5"/>
      <c r="H193" s="5"/>
      <c r="I193" s="5"/>
    </row>
    <row r="194" spans="1:9" ht="15">
      <c r="A194" s="3"/>
      <c r="B194" s="5"/>
      <c r="C194" s="5"/>
      <c r="D194" s="3"/>
      <c r="E194" s="3"/>
      <c r="F194" s="3"/>
      <c r="G194" s="5"/>
      <c r="H194" s="5"/>
      <c r="I194" s="5"/>
    </row>
    <row r="195" spans="1:9" ht="15">
      <c r="A195" s="3"/>
      <c r="B195" s="5"/>
      <c r="C195" s="5"/>
      <c r="D195" s="3"/>
      <c r="E195" s="3"/>
      <c r="F195" s="3"/>
      <c r="G195" s="5"/>
      <c r="H195" s="5"/>
      <c r="I195" s="5"/>
    </row>
    <row r="196" spans="1:9" ht="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32.25" customHeight="1">
      <c r="A197" s="65" t="s">
        <v>125</v>
      </c>
      <c r="B197" s="65"/>
      <c r="C197" s="65"/>
      <c r="D197" s="65"/>
      <c r="E197" s="65"/>
      <c r="F197" s="65"/>
      <c r="G197" s="65"/>
      <c r="H197" s="65"/>
      <c r="I197" s="65"/>
    </row>
    <row r="198" spans="1:9" ht="1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38.25">
      <c r="A199" s="1" t="s">
        <v>1</v>
      </c>
      <c r="B199" s="2" t="str">
        <f>"Nazwa urządzenia"</f>
        <v>Nazwa urządzenia</v>
      </c>
      <c r="C199" s="2" t="str">
        <f>"Typ"</f>
        <v>Typ</v>
      </c>
      <c r="D199" s="2" t="str">
        <f>"Nr Seryjny"</f>
        <v>Nr Seryjny</v>
      </c>
      <c r="E199" s="2" t="str">
        <f>"Jednostka Organizacyjna"</f>
        <v>Jednostka Organizacyjna</v>
      </c>
      <c r="F199" s="2" t="str">
        <f>"Rok Produkcji"</f>
        <v>Rok Produkcji</v>
      </c>
      <c r="G199" s="2" t="str">
        <f>"Producent"</f>
        <v>Producent</v>
      </c>
      <c r="H199" s="2" t="str">
        <f>"Częst. przeglądu"</f>
        <v>Częst. przeglądu</v>
      </c>
      <c r="I199" s="2" t="str">
        <f>"Data nastepnego przeglądu"</f>
        <v>Data nastepnego przeglądu</v>
      </c>
    </row>
    <row r="200" spans="1:9" ht="51">
      <c r="A200" s="1" t="s">
        <v>2</v>
      </c>
      <c r="B200" s="2" t="str">
        <f>"Aparat do magnetoterapii "</f>
        <v>Aparat do magnetoterapii </v>
      </c>
      <c r="C200" s="2" t="str">
        <f>"Alphatron 4100"</f>
        <v>Alphatron 4100</v>
      </c>
      <c r="D200" s="2" t="str">
        <f>"41083 "</f>
        <v>41083 </v>
      </c>
      <c r="E200" s="2" t="s">
        <v>0</v>
      </c>
      <c r="F200" s="2">
        <v>1994</v>
      </c>
      <c r="G200" s="2" t="str">
        <f>"ALPHA ELECTRONICS"</f>
        <v>ALPHA ELECTRONICS</v>
      </c>
      <c r="H200" s="2" t="str">
        <f>"12 mies."</f>
        <v>12 mies.</v>
      </c>
      <c r="I200" s="2" t="s">
        <v>286</v>
      </c>
    </row>
    <row r="201" spans="1:9" ht="1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3"/>
      <c r="B202" s="67" t="s">
        <v>114</v>
      </c>
      <c r="C202" s="67"/>
      <c r="D202" s="3"/>
      <c r="E202" s="3"/>
      <c r="F202" s="3"/>
      <c r="G202" s="67" t="s">
        <v>115</v>
      </c>
      <c r="H202" s="67"/>
      <c r="I202" s="67"/>
    </row>
    <row r="203" spans="1:9" ht="12.7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27.75" customHeight="1">
      <c r="A204" s="65" t="s">
        <v>126</v>
      </c>
      <c r="B204" s="65"/>
      <c r="C204" s="65"/>
      <c r="D204" s="65"/>
      <c r="E204" s="65"/>
      <c r="F204" s="65"/>
      <c r="G204" s="65"/>
      <c r="H204" s="65"/>
      <c r="I204" s="65"/>
    </row>
    <row r="205" spans="1:9" ht="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51">
      <c r="A206" s="1" t="s">
        <v>1</v>
      </c>
      <c r="B206" s="2" t="str">
        <f>"Nazwa urządzenia"</f>
        <v>Nazwa urządzenia</v>
      </c>
      <c r="C206" s="2" t="str">
        <f>"Typ"</f>
        <v>Typ</v>
      </c>
      <c r="D206" s="2" t="str">
        <f>"Nr Seryjny"</f>
        <v>Nr Seryjny</v>
      </c>
      <c r="E206" s="2" t="str">
        <f>"Jednostka Organizacyjna"</f>
        <v>Jednostka Organizacyjna</v>
      </c>
      <c r="F206" s="2" t="str">
        <f>"Rok Produkcji"</f>
        <v>Rok Produkcji</v>
      </c>
      <c r="G206" s="2" t="str">
        <f>"Producent"</f>
        <v>Producent</v>
      </c>
      <c r="H206" s="2" t="str">
        <f>"Częst. przeglądu"</f>
        <v>Częst. przeglądu</v>
      </c>
      <c r="I206" s="2" t="s">
        <v>117</v>
      </c>
    </row>
    <row r="207" spans="1:9" ht="51">
      <c r="A207" s="1" t="s">
        <v>2</v>
      </c>
      <c r="B207" s="2" t="str">
        <f aca="true" t="shared" si="26" ref="B207:B213">"Aparat do laseroterapii i magnetoterapii "</f>
        <v>Aparat do laseroterapii i magnetoterapii </v>
      </c>
      <c r="C207" s="41" t="str">
        <f>"BTL 4800 LM2 Topline"</f>
        <v>BTL 4800 LM2 Topline</v>
      </c>
      <c r="D207" s="2" t="str">
        <f>"4000-0383561"</f>
        <v>4000-0383561</v>
      </c>
      <c r="E207" s="2" t="str">
        <f aca="true" t="shared" si="27" ref="E207:E213">"Uniwersyteckie Centrum Rehabilitacji"</f>
        <v>Uniwersyteckie Centrum Rehabilitacji</v>
      </c>
      <c r="F207" s="2">
        <v>2009</v>
      </c>
      <c r="G207" s="2" t="str">
        <f aca="true" t="shared" si="28" ref="G207:G213">"BTL (UK)"</f>
        <v>BTL (UK)</v>
      </c>
      <c r="H207" s="2" t="str">
        <f aca="true" t="shared" si="29" ref="H207:H213">"12 mies."</f>
        <v>12 mies.</v>
      </c>
      <c r="I207" s="2" t="s">
        <v>286</v>
      </c>
    </row>
    <row r="208" spans="1:9" ht="51">
      <c r="A208" s="1" t="s">
        <v>3</v>
      </c>
      <c r="B208" s="2" t="str">
        <f t="shared" si="26"/>
        <v>Aparat do laseroterapii i magnetoterapii </v>
      </c>
      <c r="C208" s="41" t="str">
        <f>"BTL 4800 LM2 Topline"</f>
        <v>BTL 4800 LM2 Topline</v>
      </c>
      <c r="D208" s="2" t="str">
        <f>"4000-0382561"</f>
        <v>4000-0382561</v>
      </c>
      <c r="E208" s="2" t="str">
        <f t="shared" si="27"/>
        <v>Uniwersyteckie Centrum Rehabilitacji</v>
      </c>
      <c r="F208" s="2">
        <v>2009</v>
      </c>
      <c r="G208" s="2" t="str">
        <f t="shared" si="28"/>
        <v>BTL (UK)</v>
      </c>
      <c r="H208" s="2" t="str">
        <f t="shared" si="29"/>
        <v>12 mies.</v>
      </c>
      <c r="I208" s="2" t="s">
        <v>286</v>
      </c>
    </row>
    <row r="209" spans="1:9" ht="51">
      <c r="A209" s="1" t="s">
        <v>4</v>
      </c>
      <c r="B209" s="2" t="str">
        <f t="shared" si="26"/>
        <v>Aparat do laseroterapii i magnetoterapii </v>
      </c>
      <c r="C209" s="41" t="str">
        <f>"BTL 5800 LM2"</f>
        <v>BTL 5800 LM2</v>
      </c>
      <c r="D209" s="2" t="str">
        <f>"5000-0381318"</f>
        <v>5000-0381318</v>
      </c>
      <c r="E209" s="2" t="str">
        <f t="shared" si="27"/>
        <v>Uniwersyteckie Centrum Rehabilitacji</v>
      </c>
      <c r="F209" s="2">
        <v>2009</v>
      </c>
      <c r="G209" s="2" t="str">
        <f t="shared" si="28"/>
        <v>BTL (UK)</v>
      </c>
      <c r="H209" s="2" t="str">
        <f t="shared" si="29"/>
        <v>12 mies.</v>
      </c>
      <c r="I209" s="2" t="s">
        <v>286</v>
      </c>
    </row>
    <row r="210" spans="1:9" ht="51">
      <c r="A210" s="1" t="s">
        <v>5</v>
      </c>
      <c r="B210" s="2" t="str">
        <f t="shared" si="26"/>
        <v>Aparat do laseroterapii i magnetoterapii </v>
      </c>
      <c r="C210" s="41" t="str">
        <f>"BTL 5800 LM2"</f>
        <v>BTL 5800 LM2</v>
      </c>
      <c r="D210" s="2" t="str">
        <f>"5000-0383318"</f>
        <v>5000-0383318</v>
      </c>
      <c r="E210" s="2" t="str">
        <f t="shared" si="27"/>
        <v>Uniwersyteckie Centrum Rehabilitacji</v>
      </c>
      <c r="F210" s="2">
        <v>2009</v>
      </c>
      <c r="G210" s="2" t="str">
        <f t="shared" si="28"/>
        <v>BTL (UK)</v>
      </c>
      <c r="H210" s="2" t="str">
        <f t="shared" si="29"/>
        <v>12 mies.</v>
      </c>
      <c r="I210" s="2" t="s">
        <v>286</v>
      </c>
    </row>
    <row r="211" spans="1:9" ht="51">
      <c r="A211" s="1" t="s">
        <v>6</v>
      </c>
      <c r="B211" s="2" t="str">
        <f t="shared" si="26"/>
        <v>Aparat do laseroterapii i magnetoterapii </v>
      </c>
      <c r="C211" s="41" t="str">
        <f>"BTL 5800 LM2"</f>
        <v>BTL 5800 LM2</v>
      </c>
      <c r="D211" s="2" t="str">
        <f>"5000-0382318"</f>
        <v>5000-0382318</v>
      </c>
      <c r="E211" s="2" t="str">
        <f t="shared" si="27"/>
        <v>Uniwersyteckie Centrum Rehabilitacji</v>
      </c>
      <c r="F211" s="2">
        <v>2009</v>
      </c>
      <c r="G211" s="2" t="str">
        <f t="shared" si="28"/>
        <v>BTL (UK)</v>
      </c>
      <c r="H211" s="2" t="str">
        <f t="shared" si="29"/>
        <v>12 mies.</v>
      </c>
      <c r="I211" s="2" t="s">
        <v>286</v>
      </c>
    </row>
    <row r="212" spans="1:9" ht="51">
      <c r="A212" s="1" t="s">
        <v>7</v>
      </c>
      <c r="B212" s="2" t="str">
        <f t="shared" si="26"/>
        <v>Aparat do laseroterapii i magnetoterapii </v>
      </c>
      <c r="C212" s="41" t="str">
        <f>"BTL 5800 LM2"</f>
        <v>BTL 5800 LM2</v>
      </c>
      <c r="D212" s="2" t="str">
        <f>"5000-0384318"</f>
        <v>5000-0384318</v>
      </c>
      <c r="E212" s="2" t="str">
        <f t="shared" si="27"/>
        <v>Uniwersyteckie Centrum Rehabilitacji</v>
      </c>
      <c r="F212" s="2">
        <v>2009</v>
      </c>
      <c r="G212" s="2" t="str">
        <f t="shared" si="28"/>
        <v>BTL (UK)</v>
      </c>
      <c r="H212" s="2" t="str">
        <f t="shared" si="29"/>
        <v>12 mies.</v>
      </c>
      <c r="I212" s="2" t="s">
        <v>286</v>
      </c>
    </row>
    <row r="213" spans="1:9" ht="51">
      <c r="A213" s="1" t="s">
        <v>8</v>
      </c>
      <c r="B213" s="2" t="str">
        <f t="shared" si="26"/>
        <v>Aparat do laseroterapii i magnetoterapii </v>
      </c>
      <c r="C213" s="41" t="str">
        <f>"BTL 5800 LM2"</f>
        <v>BTL 5800 LM2</v>
      </c>
      <c r="D213" s="2" t="str">
        <f>"5000-0385318"</f>
        <v>5000-0385318</v>
      </c>
      <c r="E213" s="2" t="str">
        <f t="shared" si="27"/>
        <v>Uniwersyteckie Centrum Rehabilitacji</v>
      </c>
      <c r="F213" s="2">
        <v>2009</v>
      </c>
      <c r="G213" s="2" t="str">
        <f t="shared" si="28"/>
        <v>BTL (UK)</v>
      </c>
      <c r="H213" s="2" t="str">
        <f t="shared" si="29"/>
        <v>12 mies.</v>
      </c>
      <c r="I213" s="2" t="s">
        <v>286</v>
      </c>
    </row>
    <row r="214" spans="1:9" ht="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/>
      <c r="B215" s="67" t="s">
        <v>127</v>
      </c>
      <c r="C215" s="67"/>
      <c r="D215" s="3"/>
      <c r="E215" s="3"/>
      <c r="F215" s="3"/>
      <c r="G215" s="67" t="s">
        <v>115</v>
      </c>
      <c r="H215" s="67"/>
      <c r="I215" s="67"/>
    </row>
    <row r="216" spans="1:9" ht="15">
      <c r="A216" s="3"/>
      <c r="B216" s="5"/>
      <c r="C216" s="5"/>
      <c r="D216" s="3"/>
      <c r="E216" s="3"/>
      <c r="F216" s="3"/>
      <c r="G216" s="5"/>
      <c r="H216" s="5"/>
      <c r="I216" s="5"/>
    </row>
    <row r="217" spans="1:9" ht="15">
      <c r="A217" s="3"/>
      <c r="B217" s="5"/>
      <c r="C217" s="5"/>
      <c r="D217" s="3"/>
      <c r="E217" s="3"/>
      <c r="F217" s="3"/>
      <c r="G217" s="5"/>
      <c r="H217" s="5"/>
      <c r="I217" s="5"/>
    </row>
    <row r="218" spans="1:9" ht="15">
      <c r="A218" s="3"/>
      <c r="B218" s="5"/>
      <c r="C218" s="5"/>
      <c r="D218" s="3"/>
      <c r="E218" s="3"/>
      <c r="F218" s="3"/>
      <c r="G218" s="5"/>
      <c r="H218" s="5"/>
      <c r="I218" s="5"/>
    </row>
    <row r="219" spans="1:9" ht="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67" t="s">
        <v>128</v>
      </c>
      <c r="B220" s="67"/>
      <c r="C220" s="67"/>
      <c r="D220" s="67"/>
      <c r="E220" s="67"/>
      <c r="F220" s="67"/>
      <c r="G220" s="67"/>
      <c r="H220" s="67"/>
      <c r="I220" s="67"/>
    </row>
    <row r="221" spans="1:9" ht="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51">
      <c r="A222" s="1" t="s">
        <v>1</v>
      </c>
      <c r="B222" s="2" t="str">
        <f>"Nazwa urządzenia"</f>
        <v>Nazwa urządzenia</v>
      </c>
      <c r="C222" s="2" t="str">
        <f>"Typ"</f>
        <v>Typ</v>
      </c>
      <c r="D222" s="2" t="str">
        <f>"Nr Seryjny"</f>
        <v>Nr Seryjny</v>
      </c>
      <c r="E222" s="2" t="str">
        <f>"Jednostka Organizacyjna"</f>
        <v>Jednostka Organizacyjna</v>
      </c>
      <c r="F222" s="2" t="str">
        <f>"Rok Produkcji"</f>
        <v>Rok Produkcji</v>
      </c>
      <c r="G222" s="2" t="str">
        <f>"Producent"</f>
        <v>Producent</v>
      </c>
      <c r="H222" s="2" t="str">
        <f>"Częst. przeglądu"</f>
        <v>Częst. przeglądu</v>
      </c>
      <c r="I222" s="2" t="s">
        <v>117</v>
      </c>
    </row>
    <row r="223" spans="1:9" ht="51">
      <c r="A223" s="1" t="s">
        <v>2</v>
      </c>
      <c r="B223" s="2" t="str">
        <f>"Urządzenie do galwanizacji"</f>
        <v>Urządzenie do galwanizacji</v>
      </c>
      <c r="C223" s="2" t="str">
        <f>"Stymat S-110"</f>
        <v>Stymat S-110</v>
      </c>
      <c r="D223" s="2" t="str">
        <f>"78248 "</f>
        <v>78248 </v>
      </c>
      <c r="E223" s="2" t="s">
        <v>0</v>
      </c>
      <c r="F223" s="2">
        <v>1978</v>
      </c>
      <c r="G223" s="2" t="str">
        <f>"Famed Łódź"</f>
        <v>Famed Łódź</v>
      </c>
      <c r="H223" s="2" t="str">
        <f>"12 mies."</f>
        <v>12 mies.</v>
      </c>
      <c r="I223" s="2" t="s">
        <v>286</v>
      </c>
    </row>
    <row r="224" spans="1:9" ht="51">
      <c r="A224" s="1" t="s">
        <v>3</v>
      </c>
      <c r="B224" s="2" t="str">
        <f>"Urządzenie do galwanizacji"</f>
        <v>Urządzenie do galwanizacji</v>
      </c>
      <c r="C224" s="2" t="str">
        <f>"Stymat S-200"</f>
        <v>Stymat S-200</v>
      </c>
      <c r="D224" s="2" t="str">
        <f>"77134"</f>
        <v>77134</v>
      </c>
      <c r="E224" s="2" t="s">
        <v>0</v>
      </c>
      <c r="F224" s="2">
        <v>1977</v>
      </c>
      <c r="G224" s="2" t="str">
        <f>"Famed Łódź"</f>
        <v>Famed Łódź</v>
      </c>
      <c r="H224" s="2" t="str">
        <f>"12 mies."</f>
        <v>12 mies.</v>
      </c>
      <c r="I224" s="2" t="s">
        <v>286</v>
      </c>
    </row>
    <row r="225" spans="1:9" ht="51">
      <c r="A225" s="1" t="s">
        <v>4</v>
      </c>
      <c r="B225" s="2" t="str">
        <f>"Urządzenie do galwanizacji"</f>
        <v>Urządzenie do galwanizacji</v>
      </c>
      <c r="C225" s="2" t="str">
        <f>"Stymat S-300"</f>
        <v>Stymat S-300</v>
      </c>
      <c r="D225" s="2" t="str">
        <f>"84143 "</f>
        <v>84143 </v>
      </c>
      <c r="E225" s="2" t="s">
        <v>0</v>
      </c>
      <c r="F225" s="2">
        <v>1984</v>
      </c>
      <c r="G225" s="2" t="str">
        <f>"Famed Łódź"</f>
        <v>Famed Łódź</v>
      </c>
      <c r="H225" s="2" t="str">
        <f>"12 mies."</f>
        <v>12 mies.</v>
      </c>
      <c r="I225" s="2" t="s">
        <v>286</v>
      </c>
    </row>
    <row r="226" spans="1:9" ht="1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/>
      <c r="B227" s="67" t="s">
        <v>114</v>
      </c>
      <c r="C227" s="67"/>
      <c r="D227" s="3"/>
      <c r="E227" s="3"/>
      <c r="F227" s="3"/>
      <c r="G227" s="3"/>
      <c r="H227" s="99" t="s">
        <v>115</v>
      </c>
      <c r="I227" s="99"/>
    </row>
    <row r="231" spans="1:9" ht="27" customHeight="1">
      <c r="A231" s="65" t="s">
        <v>129</v>
      </c>
      <c r="B231" s="65"/>
      <c r="C231" s="65"/>
      <c r="D231" s="65"/>
      <c r="E231" s="65"/>
      <c r="F231" s="65"/>
      <c r="G231" s="65"/>
      <c r="H231" s="65"/>
      <c r="I231" s="65"/>
    </row>
    <row r="233" spans="1:9" ht="51">
      <c r="A233" s="1" t="s">
        <v>1</v>
      </c>
      <c r="B233" s="2" t="str">
        <f>"Nazwa urządzenia"</f>
        <v>Nazwa urządzenia</v>
      </c>
      <c r="C233" s="2" t="str">
        <f>"Typ"</f>
        <v>Typ</v>
      </c>
      <c r="D233" s="2" t="str">
        <f>"Nr Seryjny"</f>
        <v>Nr Seryjny</v>
      </c>
      <c r="E233" s="2" t="str">
        <f>"Jednostka Organizacyjna"</f>
        <v>Jednostka Organizacyjna</v>
      </c>
      <c r="F233" s="2" t="str">
        <f>"Rok Produkcji"</f>
        <v>Rok Produkcji</v>
      </c>
      <c r="G233" s="2" t="str">
        <f>"Producent"</f>
        <v>Producent</v>
      </c>
      <c r="H233" s="2" t="str">
        <f>"Częst. przeglądu"</f>
        <v>Częst. przeglądu</v>
      </c>
      <c r="I233" s="2" t="s">
        <v>117</v>
      </c>
    </row>
    <row r="234" spans="1:9" ht="51">
      <c r="A234" s="94" t="s">
        <v>2</v>
      </c>
      <c r="B234" s="6" t="str">
        <f>"Zestaw lamp operacyjnych z systemem obrazowania"</f>
        <v>Zestaw lamp operacyjnych z systemem obrazowania</v>
      </c>
      <c r="C234" s="6" t="str">
        <f>"M5DF/H + M5"</f>
        <v>M5DF/H + M5</v>
      </c>
      <c r="D234" s="6" t="str">
        <f>"07/0095 + 07/0004 + 7721264"</f>
        <v>07/0095 + 07/0004 + 7721264</v>
      </c>
      <c r="E234" s="86" t="str">
        <f>"Blok Op. Chirurgii Małoinw. i Proktol."</f>
        <v>Blok Op. Chirurgii Małoinw. i Proktol.</v>
      </c>
      <c r="F234" s="2">
        <v>2006</v>
      </c>
      <c r="G234" s="2" t="str">
        <f>"Dr. Mach"</f>
        <v>Dr. Mach</v>
      </c>
      <c r="H234" s="86" t="str">
        <f>"12 mies."</f>
        <v>12 mies.</v>
      </c>
      <c r="I234" s="86" t="s">
        <v>286</v>
      </c>
    </row>
    <row r="235" spans="1:9" ht="25.5">
      <c r="A235" s="95"/>
      <c r="B235" s="2" t="s">
        <v>131</v>
      </c>
      <c r="C235" s="2" t="s">
        <v>133</v>
      </c>
      <c r="D235" s="2" t="s">
        <v>134</v>
      </c>
      <c r="E235" s="87"/>
      <c r="F235" s="2"/>
      <c r="G235" s="2" t="str">
        <f>"Dr. Mach"</f>
        <v>Dr. Mach</v>
      </c>
      <c r="H235" s="87"/>
      <c r="I235" s="87"/>
    </row>
    <row r="236" spans="1:9" ht="38.25">
      <c r="A236" s="96"/>
      <c r="B236" s="2" t="s">
        <v>132</v>
      </c>
      <c r="C236" s="2" t="s">
        <v>135</v>
      </c>
      <c r="D236" s="2">
        <v>7721264</v>
      </c>
      <c r="E236" s="88"/>
      <c r="F236" s="2"/>
      <c r="G236" s="2" t="s">
        <v>130</v>
      </c>
      <c r="H236" s="88"/>
      <c r="I236" s="88"/>
    </row>
    <row r="237" spans="1:9" ht="51" customHeight="1">
      <c r="A237" s="94" t="s">
        <v>3</v>
      </c>
      <c r="B237" s="6" t="str">
        <f>"Zestaw lamp operacyjnych z systemem obrazowania"</f>
        <v>Zestaw lamp operacyjnych z systemem obrazowania</v>
      </c>
      <c r="C237" s="6" t="str">
        <f>"M5DF/H + M5"</f>
        <v>M5DF/H + M5</v>
      </c>
      <c r="D237" s="6" t="str">
        <f>"07/0093 + 07/0101 + 07/0038 + 07/0044 "</f>
        <v>07/0093 + 07/0101 + 07/0038 + 07/0044 </v>
      </c>
      <c r="E237" s="86" t="str">
        <f>"Blok Op. Chirurgii Małoinw. i Proktol."</f>
        <v>Blok Op. Chirurgii Małoinw. i Proktol.</v>
      </c>
      <c r="F237" s="2">
        <v>2006</v>
      </c>
      <c r="G237" s="2" t="str">
        <f>"Dr. Mach"</f>
        <v>Dr. Mach</v>
      </c>
      <c r="H237" s="86" t="str">
        <f>"12 mies."</f>
        <v>12 mies.</v>
      </c>
      <c r="I237" s="86" t="s">
        <v>286</v>
      </c>
    </row>
    <row r="238" spans="1:9" ht="18.75" customHeight="1">
      <c r="A238" s="95"/>
      <c r="B238" s="2" t="s">
        <v>136</v>
      </c>
      <c r="C238" s="2" t="s">
        <v>138</v>
      </c>
      <c r="D238" s="2" t="s">
        <v>139</v>
      </c>
      <c r="E238" s="87"/>
      <c r="F238" s="2">
        <v>2006</v>
      </c>
      <c r="G238" s="2" t="str">
        <f>"Dr. Mach"</f>
        <v>Dr. Mach</v>
      </c>
      <c r="H238" s="87"/>
      <c r="I238" s="87"/>
    </row>
    <row r="239" spans="1:9" ht="30.75" customHeight="1">
      <c r="A239" s="95"/>
      <c r="B239" s="2" t="s">
        <v>131</v>
      </c>
      <c r="C239" s="2" t="s">
        <v>133</v>
      </c>
      <c r="D239" s="2" t="s">
        <v>140</v>
      </c>
      <c r="E239" s="87"/>
      <c r="F239" s="2">
        <v>2007</v>
      </c>
      <c r="G239" s="2" t="str">
        <f>"Dr. Mach"</f>
        <v>Dr. Mach</v>
      </c>
      <c r="H239" s="87"/>
      <c r="I239" s="87"/>
    </row>
    <row r="240" spans="1:9" ht="43.5" customHeight="1">
      <c r="A240" s="95"/>
      <c r="B240" s="2" t="s">
        <v>132</v>
      </c>
      <c r="C240" s="2" t="s">
        <v>135</v>
      </c>
      <c r="D240" s="2"/>
      <c r="E240" s="87"/>
      <c r="F240" s="2">
        <v>2007</v>
      </c>
      <c r="G240" s="2" t="s">
        <v>130</v>
      </c>
      <c r="H240" s="87"/>
      <c r="I240" s="87"/>
    </row>
    <row r="241" spans="1:9" ht="20.25" customHeight="1">
      <c r="A241" s="96"/>
      <c r="B241" s="2" t="s">
        <v>137</v>
      </c>
      <c r="C241" s="2" t="s">
        <v>138</v>
      </c>
      <c r="D241" s="2" t="s">
        <v>141</v>
      </c>
      <c r="E241" s="88"/>
      <c r="F241" s="2">
        <v>2006</v>
      </c>
      <c r="G241" s="2" t="str">
        <f>"Dr. Mach"</f>
        <v>Dr. Mach</v>
      </c>
      <c r="H241" s="88"/>
      <c r="I241" s="88"/>
    </row>
    <row r="242" spans="1:9" ht="51">
      <c r="A242" s="94" t="s">
        <v>4</v>
      </c>
      <c r="B242" s="6" t="str">
        <f>"Zestaw lamp operacyjnych z systemem obrazowania"</f>
        <v>Zestaw lamp operacyjnych z systemem obrazowania</v>
      </c>
      <c r="C242" s="6" t="str">
        <f>"M5DF/H + M5"</f>
        <v>M5DF/H + M5</v>
      </c>
      <c r="D242" s="6" t="str">
        <f>"07/0094 + 07/0009 + 07-89062 "</f>
        <v>07/0094 + 07/0009 + 07-89062 </v>
      </c>
      <c r="E242" s="86" t="str">
        <f>"Blok Op. Chirurgii ogól. i Onkologicz."</f>
        <v>Blok Op. Chirurgii ogól. i Onkologicz.</v>
      </c>
      <c r="F242" s="2">
        <v>2006</v>
      </c>
      <c r="G242" s="2" t="str">
        <f>"Dr. Mach"</f>
        <v>Dr. Mach</v>
      </c>
      <c r="H242" s="86" t="str">
        <f>"12 mies."</f>
        <v>12 mies.</v>
      </c>
      <c r="I242" s="86" t="s">
        <v>286</v>
      </c>
    </row>
    <row r="243" spans="1:9" ht="25.5">
      <c r="A243" s="95"/>
      <c r="B243" s="2" t="s">
        <v>131</v>
      </c>
      <c r="C243" s="2" t="s">
        <v>133</v>
      </c>
      <c r="D243" s="2" t="s">
        <v>143</v>
      </c>
      <c r="E243" s="87"/>
      <c r="F243" s="2">
        <v>2007</v>
      </c>
      <c r="G243" s="2" t="str">
        <f>"Dr. Mach"</f>
        <v>Dr. Mach</v>
      </c>
      <c r="H243" s="87"/>
      <c r="I243" s="87"/>
    </row>
    <row r="244" spans="1:9" ht="38.25">
      <c r="A244" s="96"/>
      <c r="B244" s="2" t="s">
        <v>132</v>
      </c>
      <c r="C244" s="2" t="s">
        <v>144</v>
      </c>
      <c r="D244" s="2" t="s">
        <v>145</v>
      </c>
      <c r="E244" s="88"/>
      <c r="F244" s="2">
        <v>2006</v>
      </c>
      <c r="G244" s="2" t="s">
        <v>142</v>
      </c>
      <c r="H244" s="88"/>
      <c r="I244" s="88"/>
    </row>
    <row r="245" spans="1:9" ht="51">
      <c r="A245" s="94" t="s">
        <v>5</v>
      </c>
      <c r="B245" s="6" t="str">
        <f>"Zestaw lamp operacyjnych z systemem obrazowania"</f>
        <v>Zestaw lamp operacyjnych z systemem obrazowania</v>
      </c>
      <c r="C245" s="6" t="str">
        <f>"M5DF/H + M5"</f>
        <v>M5DF/H + M5</v>
      </c>
      <c r="D245" s="6" t="str">
        <f>"07/0096 + 07/0100 + 07-89092 "</f>
        <v>07/0096 + 07/0100 + 07-89092 </v>
      </c>
      <c r="E245" s="86" t="str">
        <f>"Blok Op. Chirurgii ogól. i Onkologicz."</f>
        <v>Blok Op. Chirurgii ogól. i Onkologicz.</v>
      </c>
      <c r="F245" s="2">
        <v>2006</v>
      </c>
      <c r="G245" s="2" t="str">
        <f>"Dr. Mach"</f>
        <v>Dr. Mach</v>
      </c>
      <c r="H245" s="86" t="str">
        <f>"12 mies."</f>
        <v>12 mies.</v>
      </c>
      <c r="I245" s="86" t="s">
        <v>286</v>
      </c>
    </row>
    <row r="246" spans="1:9" ht="25.5">
      <c r="A246" s="95"/>
      <c r="B246" s="2" t="s">
        <v>131</v>
      </c>
      <c r="C246" s="2" t="s">
        <v>133</v>
      </c>
      <c r="D246" s="2" t="s">
        <v>146</v>
      </c>
      <c r="E246" s="87"/>
      <c r="F246" s="2">
        <v>2007</v>
      </c>
      <c r="G246" s="2" t="str">
        <f>"Dr. Mach"</f>
        <v>Dr. Mach</v>
      </c>
      <c r="H246" s="87"/>
      <c r="I246" s="87"/>
    </row>
    <row r="247" spans="1:9" ht="38.25">
      <c r="A247" s="96"/>
      <c r="B247" s="2" t="s">
        <v>132</v>
      </c>
      <c r="C247" s="2" t="s">
        <v>144</v>
      </c>
      <c r="D247" s="2" t="s">
        <v>147</v>
      </c>
      <c r="E247" s="88"/>
      <c r="F247" s="2">
        <v>2006</v>
      </c>
      <c r="G247" s="2" t="s">
        <v>142</v>
      </c>
      <c r="H247" s="88"/>
      <c r="I247" s="88"/>
    </row>
    <row r="248" spans="1:9" ht="51">
      <c r="A248" s="94" t="s">
        <v>6</v>
      </c>
      <c r="B248" s="6" t="str">
        <f>"Zestaw lamp operacyjnych z systemem obrazowania"</f>
        <v>Zestaw lamp operacyjnych z systemem obrazowania</v>
      </c>
      <c r="C248" s="6" t="str">
        <f>"M5DF/H + M5"</f>
        <v>M5DF/H + M5</v>
      </c>
      <c r="D248" s="6" t="str">
        <f>"07/0099 + 07/0008 + 07-89068 "</f>
        <v>07/0099 + 07/0008 + 07-89068 </v>
      </c>
      <c r="E248" s="86" t="str">
        <f>"Blok Op. Chirurgii Szczękowo Twarzowej"</f>
        <v>Blok Op. Chirurgii Szczękowo Twarzowej</v>
      </c>
      <c r="F248" s="2">
        <v>2006</v>
      </c>
      <c r="G248" s="2" t="str">
        <f>"Dr. Mach"</f>
        <v>Dr. Mach</v>
      </c>
      <c r="H248" s="86" t="str">
        <f>"12 mies."</f>
        <v>12 mies.</v>
      </c>
      <c r="I248" s="86" t="s">
        <v>286</v>
      </c>
    </row>
    <row r="249" spans="1:9" ht="25.5">
      <c r="A249" s="95"/>
      <c r="B249" s="2" t="s">
        <v>131</v>
      </c>
      <c r="C249" s="2" t="s">
        <v>133</v>
      </c>
      <c r="D249" s="2" t="s">
        <v>148</v>
      </c>
      <c r="E249" s="87"/>
      <c r="F249" s="2">
        <v>2007</v>
      </c>
      <c r="G249" s="2" t="str">
        <f>"Dr. Mach"</f>
        <v>Dr. Mach</v>
      </c>
      <c r="H249" s="87"/>
      <c r="I249" s="87"/>
    </row>
    <row r="250" spans="1:9" ht="38.25">
      <c r="A250" s="96"/>
      <c r="B250" s="2" t="s">
        <v>132</v>
      </c>
      <c r="C250" s="2" t="s">
        <v>144</v>
      </c>
      <c r="D250" s="2" t="s">
        <v>149</v>
      </c>
      <c r="E250" s="88"/>
      <c r="F250" s="2">
        <v>2006</v>
      </c>
      <c r="G250" s="2" t="s">
        <v>142</v>
      </c>
      <c r="H250" s="88"/>
      <c r="I250" s="88"/>
    </row>
    <row r="251" spans="1:9" ht="63.75">
      <c r="A251" s="94" t="s">
        <v>7</v>
      </c>
      <c r="B251" s="6" t="str">
        <f>"Zestaw lamp operacyjnych z systemem obrazowania"</f>
        <v>Zestaw lamp operacyjnych z systemem obrazowania</v>
      </c>
      <c r="C251" s="6" t="str">
        <f>"M5DF/H + M5"</f>
        <v>M5DF/H + M5</v>
      </c>
      <c r="D251" s="2" t="str">
        <f>"07/0097 + 07/0007 + 07/0040 + 07/0043 + 07-89064 "</f>
        <v>07/0097 + 07/0007 + 07/0040 + 07/0043 + 07-89064 </v>
      </c>
      <c r="E251" s="86" t="str">
        <f>"Blok Op. Urologii i Onkol. Urolog."</f>
        <v>Blok Op. Urologii i Onkol. Urolog.</v>
      </c>
      <c r="F251" s="2">
        <v>2006</v>
      </c>
      <c r="G251" s="2" t="str">
        <f>"Dr. Mach"</f>
        <v>Dr. Mach</v>
      </c>
      <c r="H251" s="86" t="str">
        <f>"12 mies."</f>
        <v>12 mies.</v>
      </c>
      <c r="I251" s="86" t="s">
        <v>286</v>
      </c>
    </row>
    <row r="252" spans="1:9" ht="15">
      <c r="A252" s="95"/>
      <c r="B252" s="2" t="s">
        <v>136</v>
      </c>
      <c r="C252" s="2" t="s">
        <v>138</v>
      </c>
      <c r="D252" s="2" t="s">
        <v>150</v>
      </c>
      <c r="E252" s="87"/>
      <c r="F252" s="2">
        <v>2006</v>
      </c>
      <c r="G252" s="2" t="str">
        <f>"Dr. Mach"</f>
        <v>Dr. Mach</v>
      </c>
      <c r="H252" s="87"/>
      <c r="I252" s="87"/>
    </row>
    <row r="253" spans="1:9" ht="25.5">
      <c r="A253" s="95"/>
      <c r="B253" s="2" t="s">
        <v>131</v>
      </c>
      <c r="C253" s="2" t="s">
        <v>133</v>
      </c>
      <c r="D253" s="2" t="s">
        <v>151</v>
      </c>
      <c r="E253" s="87"/>
      <c r="F253" s="2">
        <v>2007</v>
      </c>
      <c r="G253" s="2" t="str">
        <f>"Dr. Mach"</f>
        <v>Dr. Mach</v>
      </c>
      <c r="H253" s="87"/>
      <c r="I253" s="87"/>
    </row>
    <row r="254" spans="1:9" ht="38.25">
      <c r="A254" s="95"/>
      <c r="B254" s="2" t="s">
        <v>132</v>
      </c>
      <c r="C254" s="2" t="s">
        <v>144</v>
      </c>
      <c r="D254" s="2" t="s">
        <v>152</v>
      </c>
      <c r="E254" s="87"/>
      <c r="F254" s="2">
        <v>2007</v>
      </c>
      <c r="G254" s="2" t="s">
        <v>142</v>
      </c>
      <c r="H254" s="87"/>
      <c r="I254" s="87"/>
    </row>
    <row r="255" spans="1:9" ht="15">
      <c r="A255" s="96"/>
      <c r="B255" s="2" t="s">
        <v>137</v>
      </c>
      <c r="C255" s="2" t="s">
        <v>138</v>
      </c>
      <c r="D255" s="2" t="s">
        <v>153</v>
      </c>
      <c r="E255" s="88"/>
      <c r="F255" s="2">
        <v>2006</v>
      </c>
      <c r="G255" s="2" t="str">
        <f>"Dr. Mach"</f>
        <v>Dr. Mach</v>
      </c>
      <c r="H255" s="88"/>
      <c r="I255" s="88"/>
    </row>
    <row r="256" spans="1:9" ht="51">
      <c r="A256" s="94" t="s">
        <v>8</v>
      </c>
      <c r="B256" s="6" t="str">
        <f>"Zestaw lamp operacyjnych z systemem obrazowania"</f>
        <v>Zestaw lamp operacyjnych z systemem obrazowania</v>
      </c>
      <c r="C256" s="6" t="str">
        <f>"M5DF/H + M5"</f>
        <v>M5DF/H + M5</v>
      </c>
      <c r="D256" s="6" t="str">
        <f>"07/0098 + 07/0003 + 07-89061 "</f>
        <v>07/0098 + 07/0003 + 07-89061 </v>
      </c>
      <c r="E256" s="86" t="str">
        <f>"Blok Op. Urologii i Onkol. Urolog."</f>
        <v>Blok Op. Urologii i Onkol. Urolog.</v>
      </c>
      <c r="F256" s="2">
        <v>2006</v>
      </c>
      <c r="G256" s="2" t="str">
        <f>"Dr. Mach"</f>
        <v>Dr. Mach</v>
      </c>
      <c r="H256" s="86" t="str">
        <f>"12 mies."</f>
        <v>12 mies.</v>
      </c>
      <c r="I256" s="86" t="s">
        <v>286</v>
      </c>
    </row>
    <row r="257" spans="1:9" ht="25.5">
      <c r="A257" s="95"/>
      <c r="B257" s="2" t="s">
        <v>131</v>
      </c>
      <c r="C257" s="2" t="s">
        <v>133</v>
      </c>
      <c r="D257" s="2" t="s">
        <v>154</v>
      </c>
      <c r="E257" s="87"/>
      <c r="F257" s="2">
        <v>2007</v>
      </c>
      <c r="G257" s="2" t="str">
        <f>"Dr. Mach"</f>
        <v>Dr. Mach</v>
      </c>
      <c r="H257" s="87"/>
      <c r="I257" s="87"/>
    </row>
    <row r="258" spans="1:9" ht="38.25">
      <c r="A258" s="96"/>
      <c r="B258" s="2" t="s">
        <v>132</v>
      </c>
      <c r="C258" s="2" t="s">
        <v>144</v>
      </c>
      <c r="D258" s="2" t="s">
        <v>155</v>
      </c>
      <c r="E258" s="88"/>
      <c r="F258" s="2">
        <v>2006</v>
      </c>
      <c r="G258" s="2" t="s">
        <v>142</v>
      </c>
      <c r="H258" s="88"/>
      <c r="I258" s="88"/>
    </row>
    <row r="260" spans="2:9" ht="15">
      <c r="B260" s="73" t="s">
        <v>114</v>
      </c>
      <c r="C260" s="73"/>
      <c r="G260" s="73" t="s">
        <v>115</v>
      </c>
      <c r="H260" s="73"/>
      <c r="I260" s="73"/>
    </row>
    <row r="265" spans="1:9" ht="15">
      <c r="A265" s="65" t="s">
        <v>156</v>
      </c>
      <c r="B265" s="65"/>
      <c r="C265" s="65"/>
      <c r="D265" s="65"/>
      <c r="E265" s="65"/>
      <c r="F265" s="65"/>
      <c r="G265" s="65"/>
      <c r="H265" s="65"/>
      <c r="I265" s="65"/>
    </row>
    <row r="266" spans="1:9" ht="51">
      <c r="A266" s="1" t="s">
        <v>1</v>
      </c>
      <c r="B266" s="2" t="str">
        <f>"Nazwa urządzenia"</f>
        <v>Nazwa urządzenia</v>
      </c>
      <c r="C266" s="2" t="str">
        <f>"Typ"</f>
        <v>Typ</v>
      </c>
      <c r="D266" s="2" t="str">
        <f>"Nr Seryjny"</f>
        <v>Nr Seryjny</v>
      </c>
      <c r="E266" s="2" t="str">
        <f>"Jednostka Organizacyjna"</f>
        <v>Jednostka Organizacyjna</v>
      </c>
      <c r="F266" s="2" t="str">
        <f>"Rok Produkcji"</f>
        <v>Rok Produkcji</v>
      </c>
      <c r="G266" s="2" t="str">
        <f>"Producent"</f>
        <v>Producent</v>
      </c>
      <c r="H266" s="2" t="str">
        <f>"Częst. przeglądu"</f>
        <v>Częst. przeglądu</v>
      </c>
      <c r="I266" s="2" t="s">
        <v>117</v>
      </c>
    </row>
    <row r="267" spans="1:9" ht="63.75">
      <c r="A267" s="94" t="s">
        <v>2</v>
      </c>
      <c r="B267" s="6" t="s">
        <v>157</v>
      </c>
      <c r="C267" s="6" t="s">
        <v>158</v>
      </c>
      <c r="D267" s="6" t="s">
        <v>159</v>
      </c>
      <c r="E267" s="79" t="str">
        <f>"Ponadreg. Centrum Chir. Endowaskularnej"</f>
        <v>Ponadreg. Centrum Chir. Endowaskularnej</v>
      </c>
      <c r="F267" s="79">
        <v>2011</v>
      </c>
      <c r="G267" s="79" t="str">
        <f>"Drager"</f>
        <v>Drager</v>
      </c>
      <c r="H267" s="79" t="s">
        <v>160</v>
      </c>
      <c r="I267" s="86" t="s">
        <v>286</v>
      </c>
    </row>
    <row r="268" spans="1:9" ht="38.25">
      <c r="A268" s="95"/>
      <c r="B268" s="2" t="str">
        <f>"Lampa operacyjna"</f>
        <v>Lampa operacyjna</v>
      </c>
      <c r="C268" s="2" t="str">
        <f>"Polaris 550 DC (G99188-05)"</f>
        <v>Polaris 550 DC (G99188-05)</v>
      </c>
      <c r="D268" s="2" t="str">
        <f>"100000006031"</f>
        <v>100000006031</v>
      </c>
      <c r="E268" s="97"/>
      <c r="F268" s="97"/>
      <c r="G268" s="97"/>
      <c r="H268" s="97"/>
      <c r="I268" s="87"/>
    </row>
    <row r="269" spans="1:9" ht="38.25">
      <c r="A269" s="95"/>
      <c r="B269" s="2" t="str">
        <f>"Lampa operacyjna"</f>
        <v>Lampa operacyjna</v>
      </c>
      <c r="C269" s="2" t="str">
        <f>"Polaris 700 DC (G99183-05)"</f>
        <v>Polaris 700 DC (G99183-05)</v>
      </c>
      <c r="D269" s="2" t="str">
        <f>"100000008760"</f>
        <v>100000008760</v>
      </c>
      <c r="E269" s="97"/>
      <c r="F269" s="97"/>
      <c r="G269" s="97"/>
      <c r="H269" s="97"/>
      <c r="I269" s="87"/>
    </row>
    <row r="270" spans="1:9" ht="25.5">
      <c r="A270" s="95"/>
      <c r="B270" s="2" t="s">
        <v>161</v>
      </c>
      <c r="C270" s="2" t="s">
        <v>162</v>
      </c>
      <c r="D270" s="2" t="s">
        <v>163</v>
      </c>
      <c r="E270" s="97"/>
      <c r="F270" s="97"/>
      <c r="G270" s="97"/>
      <c r="H270" s="97"/>
      <c r="I270" s="87"/>
    </row>
    <row r="271" spans="1:9" ht="38.25">
      <c r="A271" s="95"/>
      <c r="B271" s="2" t="s">
        <v>164</v>
      </c>
      <c r="C271" s="2" t="s">
        <v>165</v>
      </c>
      <c r="D271" s="7" t="s">
        <v>167</v>
      </c>
      <c r="E271" s="97"/>
      <c r="F271" s="97"/>
      <c r="G271" s="97"/>
      <c r="H271" s="97"/>
      <c r="I271" s="87"/>
    </row>
    <row r="272" spans="1:9" ht="38.25">
      <c r="A272" s="95"/>
      <c r="B272" s="2" t="s">
        <v>164</v>
      </c>
      <c r="C272" s="2" t="s">
        <v>166</v>
      </c>
      <c r="D272" s="7" t="s">
        <v>168</v>
      </c>
      <c r="E272" s="97"/>
      <c r="F272" s="97"/>
      <c r="G272" s="97"/>
      <c r="H272" s="97"/>
      <c r="I272" s="87"/>
    </row>
    <row r="273" spans="1:9" ht="25.5">
      <c r="A273" s="96"/>
      <c r="B273" s="2" t="s">
        <v>169</v>
      </c>
      <c r="C273" s="2" t="s">
        <v>170</v>
      </c>
      <c r="D273" s="2" t="s">
        <v>171</v>
      </c>
      <c r="E273" s="98"/>
      <c r="F273" s="98"/>
      <c r="G273" s="98"/>
      <c r="H273" s="98"/>
      <c r="I273" s="88"/>
    </row>
    <row r="274" spans="1:9" ht="38.25" customHeight="1">
      <c r="A274" s="1" t="s">
        <v>3</v>
      </c>
      <c r="B274" s="2" t="str">
        <f aca="true" t="shared" si="30" ref="B274:B279">"Lampa operacyjna"</f>
        <v>Lampa operacyjna</v>
      </c>
      <c r="C274" s="2" t="str">
        <f>"Sola 500"</f>
        <v>Sola 500</v>
      </c>
      <c r="D274" s="2" t="str">
        <f>"ASAN-0007"</f>
        <v>ASAN-0007</v>
      </c>
      <c r="E274" s="2" t="str">
        <f>"Oddz. Klin. Ginekologiczno-Położniczy"</f>
        <v>Oddz. Klin. Ginekologiczno-Położniczy</v>
      </c>
      <c r="F274" s="2">
        <v>2009</v>
      </c>
      <c r="G274" s="2" t="str">
        <f aca="true" t="shared" si="31" ref="G274:G279">"Drager"</f>
        <v>Drager</v>
      </c>
      <c r="H274" s="2" t="str">
        <f aca="true" t="shared" si="32" ref="H274:H279">"12 mies."</f>
        <v>12 mies.</v>
      </c>
      <c r="I274" s="2" t="s">
        <v>286</v>
      </c>
    </row>
    <row r="275" spans="1:9" ht="51">
      <c r="A275" s="1" t="s">
        <v>4</v>
      </c>
      <c r="B275" s="2" t="str">
        <f t="shared" si="30"/>
        <v>Lampa operacyjna</v>
      </c>
      <c r="C275" s="2" t="str">
        <f>"Sola 500"</f>
        <v>Sola 500</v>
      </c>
      <c r="D275" s="2" t="str">
        <f>"ASAN-0008 "</f>
        <v>ASAN-0008 </v>
      </c>
      <c r="E275" s="2" t="str">
        <f>"Pracownia Hemodynamiki"</f>
        <v>Pracownia Hemodynamiki</v>
      </c>
      <c r="F275" s="2">
        <v>2009</v>
      </c>
      <c r="G275" s="2" t="str">
        <f t="shared" si="31"/>
        <v>Drager</v>
      </c>
      <c r="H275" s="2" t="str">
        <f t="shared" si="32"/>
        <v>12 mies.</v>
      </c>
      <c r="I275" s="2" t="s">
        <v>286</v>
      </c>
    </row>
    <row r="276" spans="1:9" ht="51">
      <c r="A276" s="1" t="s">
        <v>5</v>
      </c>
      <c r="B276" s="2" t="str">
        <f t="shared" si="30"/>
        <v>Lampa operacyjna</v>
      </c>
      <c r="C276" s="2" t="str">
        <f>"Sola 700 DC Premium "</f>
        <v>Sola 700 DC Premium </v>
      </c>
      <c r="D276" s="2" t="str">
        <f>"ASAN-0011 "</f>
        <v>ASAN-0011 </v>
      </c>
      <c r="E276" s="2" t="str">
        <f>"Blok Porodowy"</f>
        <v>Blok Porodowy</v>
      </c>
      <c r="F276" s="2">
        <v>2009</v>
      </c>
      <c r="G276" s="2" t="str">
        <f t="shared" si="31"/>
        <v>Drager</v>
      </c>
      <c r="H276" s="2" t="str">
        <f t="shared" si="32"/>
        <v>12 mies.</v>
      </c>
      <c r="I276" s="2" t="s">
        <v>286</v>
      </c>
    </row>
    <row r="277" spans="1:9" ht="51">
      <c r="A277" s="1" t="s">
        <v>6</v>
      </c>
      <c r="B277" s="2" t="str">
        <f t="shared" si="30"/>
        <v>Lampa operacyjna</v>
      </c>
      <c r="C277" s="2" t="str">
        <f>"Sola 700 DC Premium "</f>
        <v>Sola 700 DC Premium </v>
      </c>
      <c r="D277" s="2" t="str">
        <f>"ASBK-0238"</f>
        <v>ASBK-0238</v>
      </c>
      <c r="E277" s="2" t="str">
        <f>"Oddz. Klin. Ginekologiczno-Położniczy"</f>
        <v>Oddz. Klin. Ginekologiczno-Położniczy</v>
      </c>
      <c r="F277" s="2">
        <v>2009</v>
      </c>
      <c r="G277" s="2" t="str">
        <f t="shared" si="31"/>
        <v>Drager</v>
      </c>
      <c r="H277" s="2" t="str">
        <f t="shared" si="32"/>
        <v>12 mies.</v>
      </c>
      <c r="I277" s="2" t="s">
        <v>286</v>
      </c>
    </row>
    <row r="278" spans="1:9" ht="51">
      <c r="A278" s="1" t="s">
        <v>7</v>
      </c>
      <c r="B278" s="2" t="str">
        <f t="shared" si="30"/>
        <v>Lampa operacyjna</v>
      </c>
      <c r="C278" s="2" t="str">
        <f>"Sola 700 DC Premium "</f>
        <v>Sola 700 DC Premium </v>
      </c>
      <c r="D278" s="2" t="str">
        <f>"ASAN-0009 "</f>
        <v>ASAN-0009 </v>
      </c>
      <c r="E278" s="2" t="str">
        <f>"Pracownia Elektrofizjologii"</f>
        <v>Pracownia Elektrofizjologii</v>
      </c>
      <c r="F278" s="2">
        <v>2009</v>
      </c>
      <c r="G278" s="2" t="str">
        <f t="shared" si="31"/>
        <v>Drager</v>
      </c>
      <c r="H278" s="2" t="str">
        <f t="shared" si="32"/>
        <v>12 mies.</v>
      </c>
      <c r="I278" s="2" t="s">
        <v>286</v>
      </c>
    </row>
    <row r="279" spans="1:9" ht="51">
      <c r="A279" s="1" t="s">
        <v>8</v>
      </c>
      <c r="B279" s="2" t="str">
        <f t="shared" si="30"/>
        <v>Lampa operacyjna</v>
      </c>
      <c r="C279" s="2" t="str">
        <f>"Sola 700 DC Premium "</f>
        <v>Sola 700 DC Premium </v>
      </c>
      <c r="D279" s="2" t="str">
        <f>"ASAN-0013"</f>
        <v>ASAN-0013</v>
      </c>
      <c r="E279" s="2" t="str">
        <f>"Pracownia Hemodynamiki"</f>
        <v>Pracownia Hemodynamiki</v>
      </c>
      <c r="F279" s="2">
        <v>2009</v>
      </c>
      <c r="G279" s="2" t="str">
        <f t="shared" si="31"/>
        <v>Drager</v>
      </c>
      <c r="H279" s="2" t="str">
        <f t="shared" si="32"/>
        <v>12 mies.</v>
      </c>
      <c r="I279" s="2" t="s">
        <v>286</v>
      </c>
    </row>
    <row r="281" spans="2:9" ht="15">
      <c r="B281" s="73" t="s">
        <v>114</v>
      </c>
      <c r="C281" s="73"/>
      <c r="G281" s="73" t="s">
        <v>115</v>
      </c>
      <c r="H281" s="73"/>
      <c r="I281" s="73"/>
    </row>
    <row r="286" spans="1:9" ht="21" customHeight="1">
      <c r="A286" s="59" t="s">
        <v>287</v>
      </c>
      <c r="B286" s="59"/>
      <c r="C286" s="59"/>
      <c r="D286" s="59"/>
      <c r="E286" s="59"/>
      <c r="F286" s="59"/>
      <c r="G286" s="59"/>
      <c r="H286" s="59"/>
      <c r="I286" s="59"/>
    </row>
    <row r="287" spans="1:9" ht="65.25" customHeight="1">
      <c r="A287" s="1" t="s">
        <v>1</v>
      </c>
      <c r="B287" s="2" t="str">
        <f>"Nazwa urządzenia"</f>
        <v>Nazwa urządzenia</v>
      </c>
      <c r="C287" s="2" t="str">
        <f>"Typ"</f>
        <v>Typ</v>
      </c>
      <c r="D287" s="2" t="str">
        <f>"Nr Seryjny"</f>
        <v>Nr Seryjny</v>
      </c>
      <c r="E287" s="2" t="str">
        <f>"Jednostka Organizacyjna"</f>
        <v>Jednostka Organizacyjna</v>
      </c>
      <c r="F287" s="2" t="str">
        <f>"Rok Produkcji"</f>
        <v>Rok Produkcji</v>
      </c>
      <c r="G287" s="2" t="str">
        <f>"Producent"</f>
        <v>Producent</v>
      </c>
      <c r="H287" s="2" t="str">
        <f>"Częst. przeglądu"</f>
        <v>Częst. przeglądu</v>
      </c>
      <c r="I287" s="2" t="s">
        <v>117</v>
      </c>
    </row>
    <row r="288" spans="1:9" ht="63.75">
      <c r="A288" s="83">
        <v>1</v>
      </c>
      <c r="B288" s="12" t="s">
        <v>157</v>
      </c>
      <c r="C288" s="12" t="s">
        <v>191</v>
      </c>
      <c r="D288" s="13" t="s">
        <v>192</v>
      </c>
      <c r="E288" s="92" t="s">
        <v>173</v>
      </c>
      <c r="F288" s="75">
        <v>2006</v>
      </c>
      <c r="G288" s="78" t="s">
        <v>193</v>
      </c>
      <c r="H288" s="60" t="s">
        <v>160</v>
      </c>
      <c r="I288" s="86" t="s">
        <v>286</v>
      </c>
    </row>
    <row r="289" spans="1:9" ht="26.25" thickBot="1">
      <c r="A289" s="84"/>
      <c r="B289" s="14" t="s">
        <v>161</v>
      </c>
      <c r="C289" s="15" t="s">
        <v>172</v>
      </c>
      <c r="D289" s="15">
        <v>701006</v>
      </c>
      <c r="E289" s="64"/>
      <c r="F289" s="76"/>
      <c r="G289" s="78"/>
      <c r="H289" s="61"/>
      <c r="I289" s="87"/>
    </row>
    <row r="290" spans="1:9" ht="26.25" thickBot="1">
      <c r="A290" s="84"/>
      <c r="B290" s="14" t="s">
        <v>131</v>
      </c>
      <c r="C290" s="15" t="s">
        <v>174</v>
      </c>
      <c r="D290" s="15">
        <v>100374309</v>
      </c>
      <c r="E290" s="64"/>
      <c r="F290" s="76"/>
      <c r="G290" s="78"/>
      <c r="H290" s="61"/>
      <c r="I290" s="87"/>
    </row>
    <row r="291" spans="1:9" ht="26.25" thickBot="1">
      <c r="A291" s="84"/>
      <c r="B291" s="14" t="s">
        <v>131</v>
      </c>
      <c r="C291" s="15" t="s">
        <v>175</v>
      </c>
      <c r="D291" s="15">
        <v>100445275</v>
      </c>
      <c r="E291" s="64"/>
      <c r="F291" s="76"/>
      <c r="G291" s="78"/>
      <c r="H291" s="61"/>
      <c r="I291" s="87"/>
    </row>
    <row r="292" spans="1:9" ht="26.25" thickBot="1">
      <c r="A292" s="84"/>
      <c r="B292" s="14" t="s">
        <v>131</v>
      </c>
      <c r="C292" s="15" t="s">
        <v>176</v>
      </c>
      <c r="D292" s="16">
        <v>100376347</v>
      </c>
      <c r="E292" s="64"/>
      <c r="F292" s="76"/>
      <c r="G292" s="78"/>
      <c r="H292" s="61"/>
      <c r="I292" s="87"/>
    </row>
    <row r="293" spans="1:9" ht="51.75" thickBot="1">
      <c r="A293" s="85"/>
      <c r="B293" s="14" t="s">
        <v>177</v>
      </c>
      <c r="C293" s="17" t="s">
        <v>178</v>
      </c>
      <c r="D293" s="14" t="s">
        <v>179</v>
      </c>
      <c r="E293" s="93"/>
      <c r="F293" s="77"/>
      <c r="G293" s="78"/>
      <c r="H293" s="62"/>
      <c r="I293" s="88"/>
    </row>
    <row r="294" spans="1:9" ht="76.5">
      <c r="A294" s="91">
        <v>2</v>
      </c>
      <c r="B294" s="12" t="s">
        <v>157</v>
      </c>
      <c r="C294" s="12" t="s">
        <v>191</v>
      </c>
      <c r="D294" s="19" t="s">
        <v>194</v>
      </c>
      <c r="E294" s="74" t="s">
        <v>181</v>
      </c>
      <c r="F294" s="90">
        <v>2006</v>
      </c>
      <c r="G294" s="74" t="s">
        <v>193</v>
      </c>
      <c r="H294" s="89" t="s">
        <v>160</v>
      </c>
      <c r="I294" s="83" t="s">
        <v>286</v>
      </c>
    </row>
    <row r="295" spans="1:9" ht="26.25" thickBot="1">
      <c r="A295" s="63"/>
      <c r="B295" s="14" t="s">
        <v>136</v>
      </c>
      <c r="C295" s="15" t="s">
        <v>180</v>
      </c>
      <c r="D295" s="17">
        <v>703018</v>
      </c>
      <c r="E295" s="74"/>
      <c r="F295" s="90"/>
      <c r="G295" s="74"/>
      <c r="H295" s="89"/>
      <c r="I295" s="84"/>
    </row>
    <row r="296" spans="1:9" ht="26.25" thickBot="1">
      <c r="A296" s="63"/>
      <c r="B296" s="14" t="s">
        <v>131</v>
      </c>
      <c r="C296" s="15" t="s">
        <v>175</v>
      </c>
      <c r="D296" s="17">
        <v>100357487</v>
      </c>
      <c r="E296" s="74"/>
      <c r="F296" s="90"/>
      <c r="G296" s="74"/>
      <c r="H296" s="89"/>
      <c r="I296" s="84"/>
    </row>
    <row r="297" spans="1:9" ht="26.25" thickBot="1">
      <c r="A297" s="63"/>
      <c r="B297" s="14" t="s">
        <v>131</v>
      </c>
      <c r="C297" s="15" t="s">
        <v>175</v>
      </c>
      <c r="D297" s="17">
        <v>100365654</v>
      </c>
      <c r="E297" s="74"/>
      <c r="F297" s="90"/>
      <c r="G297" s="74"/>
      <c r="H297" s="89"/>
      <c r="I297" s="84"/>
    </row>
    <row r="298" spans="1:9" ht="51.75" thickBot="1">
      <c r="A298" s="63"/>
      <c r="B298" s="14" t="s">
        <v>177</v>
      </c>
      <c r="C298" s="15" t="s">
        <v>178</v>
      </c>
      <c r="D298" s="17" t="s">
        <v>182</v>
      </c>
      <c r="E298" s="74"/>
      <c r="F298" s="90"/>
      <c r="G298" s="74"/>
      <c r="H298" s="89"/>
      <c r="I298" s="84"/>
    </row>
    <row r="299" spans="1:9" ht="26.25" thickBot="1">
      <c r="A299" s="63"/>
      <c r="B299" s="14" t="s">
        <v>183</v>
      </c>
      <c r="C299" s="15" t="s">
        <v>184</v>
      </c>
      <c r="D299" s="17">
        <v>704005</v>
      </c>
      <c r="E299" s="74"/>
      <c r="F299" s="90"/>
      <c r="G299" s="74"/>
      <c r="H299" s="89"/>
      <c r="I299" s="84"/>
    </row>
    <row r="300" spans="1:9" ht="15.75" thickBot="1">
      <c r="A300" s="63"/>
      <c r="B300" s="14" t="s">
        <v>137</v>
      </c>
      <c r="C300" s="15" t="s">
        <v>172</v>
      </c>
      <c r="D300" s="17">
        <v>701004</v>
      </c>
      <c r="E300" s="74"/>
      <c r="F300" s="90"/>
      <c r="G300" s="74"/>
      <c r="H300" s="89"/>
      <c r="I300" s="85"/>
    </row>
    <row r="301" spans="1:9" ht="63.75">
      <c r="A301" s="86">
        <v>3</v>
      </c>
      <c r="B301" s="12" t="s">
        <v>195</v>
      </c>
      <c r="C301" s="12" t="s">
        <v>191</v>
      </c>
      <c r="D301" s="19" t="s">
        <v>197</v>
      </c>
      <c r="E301" s="74" t="s">
        <v>181</v>
      </c>
      <c r="F301" s="74">
        <v>2006</v>
      </c>
      <c r="G301" s="74" t="s">
        <v>193</v>
      </c>
      <c r="H301" s="74" t="s">
        <v>160</v>
      </c>
      <c r="I301" s="83" t="s">
        <v>286</v>
      </c>
    </row>
    <row r="302" spans="1:9" ht="26.25" thickBot="1">
      <c r="A302" s="87"/>
      <c r="B302" s="20" t="s">
        <v>136</v>
      </c>
      <c r="C302" s="15" t="s">
        <v>180</v>
      </c>
      <c r="D302" s="17">
        <v>703004</v>
      </c>
      <c r="E302" s="74"/>
      <c r="F302" s="74"/>
      <c r="G302" s="74"/>
      <c r="H302" s="74"/>
      <c r="I302" s="84"/>
    </row>
    <row r="303" spans="1:9" ht="26.25" thickBot="1">
      <c r="A303" s="87"/>
      <c r="B303" s="14" t="s">
        <v>131</v>
      </c>
      <c r="C303" s="15" t="s">
        <v>175</v>
      </c>
      <c r="D303" s="17">
        <v>100369156</v>
      </c>
      <c r="E303" s="74"/>
      <c r="F303" s="74"/>
      <c r="G303" s="74"/>
      <c r="H303" s="74"/>
      <c r="I303" s="84"/>
    </row>
    <row r="304" spans="1:9" ht="26.25" thickBot="1">
      <c r="A304" s="87"/>
      <c r="B304" s="14" t="s">
        <v>131</v>
      </c>
      <c r="C304" s="15" t="s">
        <v>175</v>
      </c>
      <c r="D304" s="17">
        <v>100357486</v>
      </c>
      <c r="E304" s="74"/>
      <c r="F304" s="74"/>
      <c r="G304" s="74"/>
      <c r="H304" s="74"/>
      <c r="I304" s="84"/>
    </row>
    <row r="305" spans="1:9" ht="51.75" thickBot="1">
      <c r="A305" s="87"/>
      <c r="B305" s="14" t="s">
        <v>177</v>
      </c>
      <c r="C305" s="15" t="s">
        <v>178</v>
      </c>
      <c r="D305" s="17" t="s">
        <v>185</v>
      </c>
      <c r="E305" s="74"/>
      <c r="F305" s="74"/>
      <c r="G305" s="74"/>
      <c r="H305" s="74"/>
      <c r="I305" s="84"/>
    </row>
    <row r="306" spans="1:9" ht="26.25" thickBot="1">
      <c r="A306" s="87"/>
      <c r="B306" s="14" t="s">
        <v>183</v>
      </c>
      <c r="C306" s="15" t="s">
        <v>184</v>
      </c>
      <c r="D306" s="17">
        <v>704001</v>
      </c>
      <c r="E306" s="74"/>
      <c r="F306" s="74"/>
      <c r="G306" s="74"/>
      <c r="H306" s="74"/>
      <c r="I306" s="84"/>
    </row>
    <row r="307" spans="1:9" ht="15.75" thickBot="1">
      <c r="A307" s="88"/>
      <c r="B307" s="14" t="s">
        <v>137</v>
      </c>
      <c r="C307" s="15" t="s">
        <v>172</v>
      </c>
      <c r="D307" s="17" t="s">
        <v>186</v>
      </c>
      <c r="E307" s="74"/>
      <c r="F307" s="74"/>
      <c r="G307" s="74"/>
      <c r="H307" s="74"/>
      <c r="I307" s="85"/>
    </row>
    <row r="308" spans="1:9" ht="63.75">
      <c r="A308" s="74">
        <v>4</v>
      </c>
      <c r="B308" s="12" t="s">
        <v>195</v>
      </c>
      <c r="C308" s="12" t="s">
        <v>191</v>
      </c>
      <c r="D308" s="19" t="s">
        <v>198</v>
      </c>
      <c r="E308" s="78" t="s">
        <v>173</v>
      </c>
      <c r="F308" s="78">
        <v>2006</v>
      </c>
      <c r="G308" s="78" t="s">
        <v>193</v>
      </c>
      <c r="H308" s="100" t="s">
        <v>196</v>
      </c>
      <c r="I308" s="86" t="s">
        <v>286</v>
      </c>
    </row>
    <row r="309" spans="1:9" ht="26.25" thickBot="1">
      <c r="A309" s="74"/>
      <c r="B309" s="14" t="s">
        <v>161</v>
      </c>
      <c r="C309" s="15" t="s">
        <v>172</v>
      </c>
      <c r="D309" s="17">
        <v>701018</v>
      </c>
      <c r="E309" s="78"/>
      <c r="F309" s="78"/>
      <c r="G309" s="78"/>
      <c r="H309" s="100"/>
      <c r="I309" s="87"/>
    </row>
    <row r="310" spans="1:9" ht="26.25" thickBot="1">
      <c r="A310" s="74"/>
      <c r="B310" s="14" t="s">
        <v>131</v>
      </c>
      <c r="C310" s="15" t="s">
        <v>174</v>
      </c>
      <c r="D310" s="17">
        <v>100378728</v>
      </c>
      <c r="E310" s="78"/>
      <c r="F310" s="78"/>
      <c r="G310" s="78"/>
      <c r="H310" s="100"/>
      <c r="I310" s="87"/>
    </row>
    <row r="311" spans="1:9" ht="26.25" thickBot="1">
      <c r="A311" s="74"/>
      <c r="B311" s="14" t="s">
        <v>131</v>
      </c>
      <c r="C311" s="15" t="s">
        <v>175</v>
      </c>
      <c r="D311" s="17">
        <v>100445263</v>
      </c>
      <c r="E311" s="78"/>
      <c r="F311" s="78"/>
      <c r="G311" s="78"/>
      <c r="H311" s="100"/>
      <c r="I311" s="87"/>
    </row>
    <row r="312" spans="1:9" ht="26.25" thickBot="1">
      <c r="A312" s="74"/>
      <c r="B312" s="14" t="s">
        <v>131</v>
      </c>
      <c r="C312" s="15" t="s">
        <v>176</v>
      </c>
      <c r="D312" s="17">
        <v>100376348</v>
      </c>
      <c r="E312" s="78"/>
      <c r="F312" s="78"/>
      <c r="G312" s="78"/>
      <c r="H312" s="100"/>
      <c r="I312" s="87"/>
    </row>
    <row r="313" spans="1:9" ht="51.75" thickBot="1">
      <c r="A313" s="74"/>
      <c r="B313" s="14" t="s">
        <v>177</v>
      </c>
      <c r="C313" s="15" t="s">
        <v>178</v>
      </c>
      <c r="D313" s="17" t="s">
        <v>187</v>
      </c>
      <c r="E313" s="78"/>
      <c r="F313" s="78"/>
      <c r="G313" s="78"/>
      <c r="H313" s="101"/>
      <c r="I313" s="88"/>
    </row>
    <row r="314" spans="1:9" ht="52.5">
      <c r="A314" s="75">
        <v>5</v>
      </c>
      <c r="B314" s="9" t="s">
        <v>195</v>
      </c>
      <c r="C314" s="12" t="s">
        <v>191</v>
      </c>
      <c r="D314" s="18" t="s">
        <v>199</v>
      </c>
      <c r="E314" s="82" t="s">
        <v>188</v>
      </c>
      <c r="F314" s="82">
        <v>2006</v>
      </c>
      <c r="G314" s="78" t="s">
        <v>193</v>
      </c>
      <c r="H314" s="82" t="s">
        <v>160</v>
      </c>
      <c r="I314" s="86" t="s">
        <v>286</v>
      </c>
    </row>
    <row r="315" spans="1:9" ht="23.25" thickBot="1">
      <c r="A315" s="76"/>
      <c r="B315" s="10" t="s">
        <v>136</v>
      </c>
      <c r="C315" s="8" t="s">
        <v>180</v>
      </c>
      <c r="D315" s="11">
        <v>703010</v>
      </c>
      <c r="E315" s="82"/>
      <c r="F315" s="82"/>
      <c r="G315" s="78"/>
      <c r="H315" s="82"/>
      <c r="I315" s="87"/>
    </row>
    <row r="316" spans="1:9" ht="23.25" thickBot="1">
      <c r="A316" s="76"/>
      <c r="B316" s="10" t="s">
        <v>131</v>
      </c>
      <c r="C316" s="8" t="s">
        <v>175</v>
      </c>
      <c r="D316" s="11">
        <v>100369158</v>
      </c>
      <c r="E316" s="82"/>
      <c r="F316" s="82"/>
      <c r="G316" s="78"/>
      <c r="H316" s="82"/>
      <c r="I316" s="87"/>
    </row>
    <row r="317" spans="1:9" ht="23.25" thickBot="1">
      <c r="A317" s="76"/>
      <c r="B317" s="10" t="s">
        <v>131</v>
      </c>
      <c r="C317" s="8" t="s">
        <v>175</v>
      </c>
      <c r="D317" s="11">
        <v>100369167</v>
      </c>
      <c r="E317" s="82"/>
      <c r="F317" s="82"/>
      <c r="G317" s="78"/>
      <c r="H317" s="82"/>
      <c r="I317" s="87"/>
    </row>
    <row r="318" spans="1:9" ht="34.5" thickBot="1">
      <c r="A318" s="76"/>
      <c r="B318" s="10" t="s">
        <v>177</v>
      </c>
      <c r="C318" s="8" t="s">
        <v>178</v>
      </c>
      <c r="D318" s="11" t="s">
        <v>189</v>
      </c>
      <c r="E318" s="82"/>
      <c r="F318" s="82"/>
      <c r="G318" s="78"/>
      <c r="H318" s="82"/>
      <c r="I318" s="87"/>
    </row>
    <row r="319" spans="1:9" ht="23.25" thickBot="1">
      <c r="A319" s="76"/>
      <c r="B319" s="10" t="s">
        <v>183</v>
      </c>
      <c r="C319" s="8" t="s">
        <v>184</v>
      </c>
      <c r="D319" s="11">
        <v>704009</v>
      </c>
      <c r="E319" s="82"/>
      <c r="F319" s="82"/>
      <c r="G319" s="78"/>
      <c r="H319" s="82"/>
      <c r="I319" s="87"/>
    </row>
    <row r="320" spans="1:9" ht="15.75" thickBot="1">
      <c r="A320" s="77"/>
      <c r="B320" s="10" t="s">
        <v>137</v>
      </c>
      <c r="C320" s="8" t="s">
        <v>172</v>
      </c>
      <c r="D320" s="11">
        <v>703008</v>
      </c>
      <c r="E320" s="82"/>
      <c r="F320" s="82"/>
      <c r="G320" s="78"/>
      <c r="H320" s="82"/>
      <c r="I320" s="88"/>
    </row>
    <row r="321" spans="1:10" ht="76.5">
      <c r="A321" s="75">
        <v>6</v>
      </c>
      <c r="B321" s="12" t="s">
        <v>157</v>
      </c>
      <c r="C321" s="12" t="s">
        <v>191</v>
      </c>
      <c r="D321" s="19" t="s">
        <v>203</v>
      </c>
      <c r="E321" s="78" t="s">
        <v>188</v>
      </c>
      <c r="F321" s="78">
        <v>2006</v>
      </c>
      <c r="G321" s="78" t="s">
        <v>193</v>
      </c>
      <c r="H321" s="80" t="s">
        <v>160</v>
      </c>
      <c r="I321" s="86" t="s">
        <v>286</v>
      </c>
      <c r="J321" s="21"/>
    </row>
    <row r="322" spans="1:10" ht="26.25" thickBot="1">
      <c r="A322" s="76"/>
      <c r="B322" s="14" t="s">
        <v>136</v>
      </c>
      <c r="C322" s="15" t="s">
        <v>180</v>
      </c>
      <c r="D322" s="17">
        <v>703005</v>
      </c>
      <c r="E322" s="78"/>
      <c r="F322" s="78"/>
      <c r="G322" s="78"/>
      <c r="H322" s="80"/>
      <c r="I322" s="87"/>
      <c r="J322" s="21"/>
    </row>
    <row r="323" spans="1:10" ht="26.25" thickBot="1">
      <c r="A323" s="76"/>
      <c r="B323" s="14" t="s">
        <v>131</v>
      </c>
      <c r="C323" s="15" t="s">
        <v>175</v>
      </c>
      <c r="D323" s="17">
        <v>100270166</v>
      </c>
      <c r="E323" s="78"/>
      <c r="F323" s="78"/>
      <c r="G323" s="78"/>
      <c r="H323" s="80"/>
      <c r="I323" s="87"/>
      <c r="J323" s="21"/>
    </row>
    <row r="324" spans="1:10" ht="26.25" thickBot="1">
      <c r="A324" s="76"/>
      <c r="B324" s="14" t="s">
        <v>131</v>
      </c>
      <c r="C324" s="15" t="s">
        <v>175</v>
      </c>
      <c r="D324" s="17">
        <v>100369164</v>
      </c>
      <c r="E324" s="78"/>
      <c r="F324" s="78"/>
      <c r="G324" s="78"/>
      <c r="H324" s="80"/>
      <c r="I324" s="87"/>
      <c r="J324" s="21"/>
    </row>
    <row r="325" spans="1:10" ht="51.75" thickBot="1">
      <c r="A325" s="76"/>
      <c r="B325" s="14" t="s">
        <v>177</v>
      </c>
      <c r="C325" s="15" t="s">
        <v>178</v>
      </c>
      <c r="D325" s="17" t="s">
        <v>190</v>
      </c>
      <c r="E325" s="78"/>
      <c r="F325" s="78"/>
      <c r="G325" s="78"/>
      <c r="H325" s="80"/>
      <c r="I325" s="87"/>
      <c r="J325" s="21"/>
    </row>
    <row r="326" spans="1:10" ht="26.25" thickBot="1">
      <c r="A326" s="76"/>
      <c r="B326" s="14" t="s">
        <v>183</v>
      </c>
      <c r="C326" s="15" t="s">
        <v>184</v>
      </c>
      <c r="D326" s="17">
        <v>704000</v>
      </c>
      <c r="E326" s="78"/>
      <c r="F326" s="78"/>
      <c r="G326" s="78"/>
      <c r="H326" s="80"/>
      <c r="I326" s="87"/>
      <c r="J326" s="21"/>
    </row>
    <row r="327" spans="1:10" ht="15">
      <c r="A327" s="77"/>
      <c r="B327" s="22" t="s">
        <v>137</v>
      </c>
      <c r="C327" s="16" t="s">
        <v>172</v>
      </c>
      <c r="D327" s="23">
        <v>703002</v>
      </c>
      <c r="E327" s="79"/>
      <c r="F327" s="79"/>
      <c r="G327" s="79"/>
      <c r="H327" s="81"/>
      <c r="I327" s="88"/>
      <c r="J327" s="21"/>
    </row>
    <row r="328" spans="1:9" ht="51">
      <c r="A328" s="24">
        <v>7</v>
      </c>
      <c r="B328" s="2" t="s">
        <v>131</v>
      </c>
      <c r="C328" s="2" t="s">
        <v>200</v>
      </c>
      <c r="D328" s="7" t="s">
        <v>201</v>
      </c>
      <c r="E328" s="2" t="s">
        <v>202</v>
      </c>
      <c r="F328" s="2">
        <v>2011</v>
      </c>
      <c r="G328" s="2" t="s">
        <v>193</v>
      </c>
      <c r="H328" s="2" t="s">
        <v>160</v>
      </c>
      <c r="I328" s="2" t="s">
        <v>286</v>
      </c>
    </row>
    <row r="330" spans="2:9" ht="15">
      <c r="B330" s="73" t="s">
        <v>114</v>
      </c>
      <c r="C330" s="73"/>
      <c r="G330" s="73" t="s">
        <v>115</v>
      </c>
      <c r="H330" s="73"/>
      <c r="I330" s="73"/>
    </row>
    <row r="334" spans="1:9" ht="15">
      <c r="A334" s="66" t="s">
        <v>204</v>
      </c>
      <c r="B334" s="66"/>
      <c r="C334" s="66"/>
      <c r="D334" s="66"/>
      <c r="E334" s="66"/>
      <c r="F334" s="66"/>
      <c r="G334" s="66"/>
      <c r="H334" s="66"/>
      <c r="I334" s="66"/>
    </row>
    <row r="336" spans="1:9" ht="51">
      <c r="A336" s="1" t="s">
        <v>1</v>
      </c>
      <c r="B336" s="2" t="str">
        <f>"Nazwa urządzenia"</f>
        <v>Nazwa urządzenia</v>
      </c>
      <c r="C336" s="2" t="str">
        <f>"Typ"</f>
        <v>Typ</v>
      </c>
      <c r="D336" s="2" t="str">
        <f>"Nr Seryjny"</f>
        <v>Nr Seryjny</v>
      </c>
      <c r="E336" s="2" t="str">
        <f>"Jednostka Organizacyjna"</f>
        <v>Jednostka Organizacyjna</v>
      </c>
      <c r="F336" s="2" t="str">
        <f>"Rok Produkcji"</f>
        <v>Rok Produkcji</v>
      </c>
      <c r="G336" s="2" t="str">
        <f>"Producent"</f>
        <v>Producent</v>
      </c>
      <c r="H336" s="2" t="str">
        <f>"Częst. przeglądu"</f>
        <v>Częst. przeglądu</v>
      </c>
      <c r="I336" s="2" t="s">
        <v>117</v>
      </c>
    </row>
    <row r="337" spans="1:9" ht="51">
      <c r="A337" s="1" t="s">
        <v>2</v>
      </c>
      <c r="B337" s="2" t="str">
        <f aca="true" t="shared" si="33" ref="B337:B342">"Stół operacyjny"</f>
        <v>Stół operacyjny</v>
      </c>
      <c r="C337" s="2" t="str">
        <f aca="true" t="shared" si="34" ref="C337:C342">"Genius"</f>
        <v>Genius</v>
      </c>
      <c r="D337" s="2" t="str">
        <f>"STA-1125 "</f>
        <v>STA-1125 </v>
      </c>
      <c r="E337" s="2" t="str">
        <f>"Oddz. Klin. Okulistyczny"</f>
        <v>Oddz. Klin. Okulistyczny</v>
      </c>
      <c r="F337" s="2">
        <v>2011</v>
      </c>
      <c r="G337" s="2" t="str">
        <f aca="true" t="shared" si="35" ref="G337:G342">"BRUMABA"</f>
        <v>BRUMABA</v>
      </c>
      <c r="H337" s="2" t="str">
        <f aca="true" t="shared" si="36" ref="H337:H342">"12 mies."</f>
        <v>12 mies.</v>
      </c>
      <c r="I337" s="2" t="s">
        <v>286</v>
      </c>
    </row>
    <row r="338" spans="1:9" ht="51">
      <c r="A338" s="1" t="s">
        <v>3</v>
      </c>
      <c r="B338" s="2" t="str">
        <f t="shared" si="33"/>
        <v>Stół operacyjny</v>
      </c>
      <c r="C338" s="2" t="str">
        <f t="shared" si="34"/>
        <v>Genius</v>
      </c>
      <c r="D338" s="2" t="str">
        <f>"STN-1026"</f>
        <v>STN-1026</v>
      </c>
      <c r="E338" s="2" t="str">
        <f>"Oddz. Klin. Okulistyczny Dziecięcy"</f>
        <v>Oddz. Klin. Okulistyczny Dziecięcy</v>
      </c>
      <c r="F338" s="2">
        <v>2011</v>
      </c>
      <c r="G338" s="2" t="str">
        <f t="shared" si="35"/>
        <v>BRUMABA</v>
      </c>
      <c r="H338" s="2" t="str">
        <f t="shared" si="36"/>
        <v>12 mies.</v>
      </c>
      <c r="I338" s="2" t="s">
        <v>286</v>
      </c>
    </row>
    <row r="339" spans="1:9" ht="51">
      <c r="A339" s="1" t="s">
        <v>4</v>
      </c>
      <c r="B339" s="2" t="str">
        <f t="shared" si="33"/>
        <v>Stół operacyjny</v>
      </c>
      <c r="C339" s="2" t="str">
        <f t="shared" si="34"/>
        <v>Genius</v>
      </c>
      <c r="D339" s="2" t="str">
        <f>"STA-1124 "</f>
        <v>STA-1124 </v>
      </c>
      <c r="E339" s="2" t="str">
        <f>"Sala Op.Przykliniczna Okulistyczna"</f>
        <v>Sala Op.Przykliniczna Okulistyczna</v>
      </c>
      <c r="F339" s="2">
        <v>2011</v>
      </c>
      <c r="G339" s="2" t="str">
        <f t="shared" si="35"/>
        <v>BRUMABA</v>
      </c>
      <c r="H339" s="2" t="str">
        <f t="shared" si="36"/>
        <v>12 mies.</v>
      </c>
      <c r="I339" s="2" t="s">
        <v>286</v>
      </c>
    </row>
    <row r="340" spans="1:9" ht="51">
      <c r="A340" s="1" t="s">
        <v>5</v>
      </c>
      <c r="B340" s="2" t="str">
        <f t="shared" si="33"/>
        <v>Stół operacyjny</v>
      </c>
      <c r="C340" s="2" t="str">
        <f t="shared" si="34"/>
        <v>Genius</v>
      </c>
      <c r="D340" s="2" t="str">
        <f>"STA-1126 "</f>
        <v>STA-1126 </v>
      </c>
      <c r="E340" s="2" t="str">
        <f>"Sala Op.Przykliniczna Okulistyczna"</f>
        <v>Sala Op.Przykliniczna Okulistyczna</v>
      </c>
      <c r="F340" s="2">
        <v>2011</v>
      </c>
      <c r="G340" s="2" t="str">
        <f t="shared" si="35"/>
        <v>BRUMABA</v>
      </c>
      <c r="H340" s="2" t="str">
        <f t="shared" si="36"/>
        <v>12 mies.</v>
      </c>
      <c r="I340" s="2" t="s">
        <v>286</v>
      </c>
    </row>
    <row r="341" spans="1:9" ht="51">
      <c r="A341" s="1" t="s">
        <v>6</v>
      </c>
      <c r="B341" s="2" t="str">
        <f t="shared" si="33"/>
        <v>Stół operacyjny</v>
      </c>
      <c r="C341" s="2" t="str">
        <f t="shared" si="34"/>
        <v>Genius</v>
      </c>
      <c r="D341" s="2" t="str">
        <f>"STA-1127 "</f>
        <v>STA-1127 </v>
      </c>
      <c r="E341" s="2" t="str">
        <f>"Sala Op.Przykliniczna Okulistyczna"</f>
        <v>Sala Op.Przykliniczna Okulistyczna</v>
      </c>
      <c r="F341" s="2">
        <v>2011</v>
      </c>
      <c r="G341" s="2" t="str">
        <f t="shared" si="35"/>
        <v>BRUMABA</v>
      </c>
      <c r="H341" s="2" t="str">
        <f t="shared" si="36"/>
        <v>12 mies.</v>
      </c>
      <c r="I341" s="2" t="s">
        <v>286</v>
      </c>
    </row>
    <row r="342" spans="1:9" ht="51">
      <c r="A342" s="1" t="s">
        <v>7</v>
      </c>
      <c r="B342" s="2" t="str">
        <f t="shared" si="33"/>
        <v>Stół operacyjny</v>
      </c>
      <c r="C342" s="2" t="str">
        <f t="shared" si="34"/>
        <v>Genius</v>
      </c>
      <c r="D342" s="2" t="str">
        <f>"STA-1128 "</f>
        <v>STA-1128 </v>
      </c>
      <c r="E342" s="2" t="str">
        <f>"Sala Op.Przykliniczna Okulistyczna"</f>
        <v>Sala Op.Przykliniczna Okulistyczna</v>
      </c>
      <c r="F342" s="2">
        <v>2011</v>
      </c>
      <c r="G342" s="2" t="str">
        <f t="shared" si="35"/>
        <v>BRUMABA</v>
      </c>
      <c r="H342" s="2" t="str">
        <f t="shared" si="36"/>
        <v>12 mies.</v>
      </c>
      <c r="I342" s="2" t="s">
        <v>286</v>
      </c>
    </row>
    <row r="344" spans="2:9" ht="15">
      <c r="B344" s="73" t="s">
        <v>114</v>
      </c>
      <c r="C344" s="73"/>
      <c r="G344" s="73" t="s">
        <v>115</v>
      </c>
      <c r="H344" s="73"/>
      <c r="I344" s="73"/>
    </row>
    <row r="349" spans="1:9" ht="15">
      <c r="A349" s="65" t="s">
        <v>205</v>
      </c>
      <c r="B349" s="65"/>
      <c r="C349" s="65"/>
      <c r="D349" s="65"/>
      <c r="E349" s="65"/>
      <c r="F349" s="65"/>
      <c r="G349" s="65"/>
      <c r="H349" s="65"/>
      <c r="I349" s="65"/>
    </row>
    <row r="351" spans="1:9" ht="51">
      <c r="A351" s="1" t="s">
        <v>1</v>
      </c>
      <c r="B351" s="2" t="str">
        <f>"Nazwa urządzenia"</f>
        <v>Nazwa urządzenia</v>
      </c>
      <c r="C351" s="2" t="str">
        <f>"Typ"</f>
        <v>Typ</v>
      </c>
      <c r="D351" s="2" t="str">
        <f>"Nr Seryjny"</f>
        <v>Nr Seryjny</v>
      </c>
      <c r="E351" s="2" t="str">
        <f>"Jednostka Organizacyjna"</f>
        <v>Jednostka Organizacyjna</v>
      </c>
      <c r="F351" s="2" t="str">
        <f>"Rok Produkcji"</f>
        <v>Rok Produkcji</v>
      </c>
      <c r="G351" s="2" t="str">
        <f>"Producent"</f>
        <v>Producent</v>
      </c>
      <c r="H351" s="2" t="str">
        <f>"Częst. przeglądu"</f>
        <v>Częst. przeglądu</v>
      </c>
      <c r="I351" s="2" t="s">
        <v>117</v>
      </c>
    </row>
    <row r="352" spans="1:9" ht="51">
      <c r="A352" s="1" t="s">
        <v>2</v>
      </c>
      <c r="B352" s="2" t="str">
        <f>"Stół operacyjno - zabiegowy, mobilny"</f>
        <v>Stół operacyjno - zabiegowy, mobilny</v>
      </c>
      <c r="C352" s="2" t="str">
        <f>"SZ-01.5 (TYP SO10)"</f>
        <v>SZ-01.5 (TYP SO10)</v>
      </c>
      <c r="D352" s="2" t="str">
        <f>"1207/00871"</f>
        <v>1207/00871</v>
      </c>
      <c r="E352" s="2" t="str">
        <f>"Oddz. Klin. Chirurgii Szczękowo-Twarzowej"</f>
        <v>Oddz. Klin. Chirurgii Szczękowo-Twarzowej</v>
      </c>
      <c r="F352" s="2">
        <v>2007</v>
      </c>
      <c r="G352" s="2" t="str">
        <f>"FAMED ŻYWIEC Sp. z o.o."</f>
        <v>FAMED ŻYWIEC Sp. z o.o.</v>
      </c>
      <c r="H352" s="2" t="str">
        <f>"12 mies."</f>
        <v>12 mies.</v>
      </c>
      <c r="I352" s="2" t="s">
        <v>286</v>
      </c>
    </row>
    <row r="353" spans="1:9" ht="51">
      <c r="A353" s="1" t="s">
        <v>3</v>
      </c>
      <c r="B353" s="2" t="str">
        <f>"Stół operacyjny"</f>
        <v>Stół operacyjny</v>
      </c>
      <c r="C353" s="2" t="str">
        <f>"SU-03.0"</f>
        <v>SU-03.0</v>
      </c>
      <c r="D353" s="2" t="str">
        <f>"0207/00442 "</f>
        <v>0207/00442 </v>
      </c>
      <c r="E353" s="2" t="s">
        <v>0</v>
      </c>
      <c r="F353" s="2">
        <v>2007</v>
      </c>
      <c r="G353" s="2" t="str">
        <f>"FAMED ŻYWIEC Sp. z o.o."</f>
        <v>FAMED ŻYWIEC Sp. z o.o.</v>
      </c>
      <c r="H353" s="2" t="str">
        <f>"12 mies."</f>
        <v>12 mies.</v>
      </c>
      <c r="I353" s="2" t="s">
        <v>286</v>
      </c>
    </row>
    <row r="354" spans="1:9" ht="51">
      <c r="A354" s="1" t="s">
        <v>4</v>
      </c>
      <c r="B354" s="2" t="str">
        <f>"Stół operacyjny"</f>
        <v>Stół operacyjny</v>
      </c>
      <c r="C354" s="2" t="str">
        <f>"SU-07O/N-538/05"</f>
        <v>SU-07O/N-538/05</v>
      </c>
      <c r="D354" s="2" t="str">
        <f>"1205/00019"</f>
        <v>1205/00019</v>
      </c>
      <c r="E354" s="2" t="str">
        <f>"Dział Diagnostyki Endoskopowej"</f>
        <v>Dział Diagnostyki Endoskopowej</v>
      </c>
      <c r="F354" s="2">
        <v>2005</v>
      </c>
      <c r="G354" s="2" t="str">
        <f>"FAMED ŻYWIEC Sp. z o.o."</f>
        <v>FAMED ŻYWIEC Sp. z o.o.</v>
      </c>
      <c r="H354" s="2" t="str">
        <f>"12 mies."</f>
        <v>12 mies.</v>
      </c>
      <c r="I354" s="2" t="s">
        <v>286</v>
      </c>
    </row>
    <row r="355" spans="1:9" ht="38.25">
      <c r="A355" s="1" t="s">
        <v>5</v>
      </c>
      <c r="B355" s="2" t="str">
        <f>"Stół operacyjny"</f>
        <v>Stół operacyjny</v>
      </c>
      <c r="C355" s="2" t="str">
        <f>"SU-08"</f>
        <v>SU-08</v>
      </c>
      <c r="D355" s="2" t="str">
        <f>"1207/00042 "</f>
        <v>1207/00042 </v>
      </c>
      <c r="E355" s="2" t="str">
        <f>"Szpitalny Oddział Ratunkowy-Klin.Med.Rat"</f>
        <v>Szpitalny Oddział Ratunkowy-Klin.Med.Rat</v>
      </c>
      <c r="F355" s="2">
        <v>2007</v>
      </c>
      <c r="G355" s="2" t="str">
        <f>"FAMED ŻYWIEC Sp. z o.o."</f>
        <v>FAMED ŻYWIEC Sp. z o.o.</v>
      </c>
      <c r="H355" s="2" t="str">
        <f>"12 mies."</f>
        <v>12 mies.</v>
      </c>
      <c r="I355" s="2" t="str">
        <f>"2019-02-28"</f>
        <v>2019-02-28</v>
      </c>
    </row>
    <row r="356" spans="1:9" ht="38.25">
      <c r="A356" s="1" t="s">
        <v>6</v>
      </c>
      <c r="B356" s="2" t="str">
        <f>"Stół operacyjny"</f>
        <v>Stół operacyjny</v>
      </c>
      <c r="C356" s="2" t="str">
        <f>"SU-08"</f>
        <v>SU-08</v>
      </c>
      <c r="D356" s="2" t="str">
        <f>"0907/00036"</f>
        <v>0907/00036</v>
      </c>
      <c r="E356" s="2" t="str">
        <f>"Szpitalny Oddział Ratunkowy-Klin.Med.Rat"</f>
        <v>Szpitalny Oddział Ratunkowy-Klin.Med.Rat</v>
      </c>
      <c r="F356" s="2">
        <v>2007</v>
      </c>
      <c r="G356" s="2" t="str">
        <f>"FAMED ŻYWIEC Sp. z o.o."</f>
        <v>FAMED ŻYWIEC Sp. z o.o.</v>
      </c>
      <c r="H356" s="2" t="str">
        <f>"12 mies."</f>
        <v>12 mies.</v>
      </c>
      <c r="I356" s="2" t="str">
        <f>"2019-02-28"</f>
        <v>2019-02-28</v>
      </c>
    </row>
    <row r="358" spans="2:9" ht="15">
      <c r="B358" s="73" t="s">
        <v>114</v>
      </c>
      <c r="C358" s="73"/>
      <c r="G358" s="73" t="s">
        <v>115</v>
      </c>
      <c r="H358" s="73"/>
      <c r="I358" s="73"/>
    </row>
    <row r="363" spans="1:9" ht="15">
      <c r="A363" s="65" t="s">
        <v>206</v>
      </c>
      <c r="B363" s="65"/>
      <c r="C363" s="65"/>
      <c r="D363" s="65"/>
      <c r="E363" s="65"/>
      <c r="F363" s="65"/>
      <c r="G363" s="65"/>
      <c r="H363" s="65"/>
      <c r="I363" s="65"/>
    </row>
    <row r="365" spans="1:9" ht="51">
      <c r="A365" s="1" t="s">
        <v>1</v>
      </c>
      <c r="B365" s="2" t="str">
        <f>"Nazwa urządzenia"</f>
        <v>Nazwa urządzenia</v>
      </c>
      <c r="C365" s="2" t="str">
        <f>"Typ"</f>
        <v>Typ</v>
      </c>
      <c r="D365" s="2" t="str">
        <f>"Nr Seryjny"</f>
        <v>Nr Seryjny</v>
      </c>
      <c r="E365" s="2" t="str">
        <f>"Jednostka Organizacyjna"</f>
        <v>Jednostka Organizacyjna</v>
      </c>
      <c r="F365" s="2" t="str">
        <f>"Rok Produkcji"</f>
        <v>Rok Produkcji</v>
      </c>
      <c r="G365" s="2" t="str">
        <f>"Producent"</f>
        <v>Producent</v>
      </c>
      <c r="H365" s="2" t="str">
        <f>"Częst. przeglądu"</f>
        <v>Częst. przeglądu</v>
      </c>
      <c r="I365" s="2" t="s">
        <v>117</v>
      </c>
    </row>
    <row r="366" spans="1:9" ht="51">
      <c r="A366" s="1" t="s">
        <v>2</v>
      </c>
      <c r="B366" s="2" t="str">
        <f>"Stół operacyjny"</f>
        <v>Stół operacyjny</v>
      </c>
      <c r="C366" s="2" t="str">
        <f>"Dr Max 7000s"</f>
        <v>Dr Max 7000s</v>
      </c>
      <c r="D366" s="2" t="str">
        <f>"A158-K2-0002 "</f>
        <v>A158-K2-0002 </v>
      </c>
      <c r="E366" s="2" t="str">
        <f>"Blok Porodowy"</f>
        <v>Blok Porodowy</v>
      </c>
      <c r="F366" s="2">
        <v>2011</v>
      </c>
      <c r="G366" s="2" t="str">
        <f>"Trident Med."</f>
        <v>Trident Med.</v>
      </c>
      <c r="H366" s="2" t="str">
        <f>"12 mies."</f>
        <v>12 mies.</v>
      </c>
      <c r="I366" s="2" t="s">
        <v>286</v>
      </c>
    </row>
    <row r="367" spans="1:9" ht="51">
      <c r="A367" s="1" t="s">
        <v>3</v>
      </c>
      <c r="B367" s="2" t="str">
        <f>"Stół operacyjny"</f>
        <v>Stół operacyjny</v>
      </c>
      <c r="C367" s="2" t="str">
        <f>"Dr Max 7000s"</f>
        <v>Dr Max 7000s</v>
      </c>
      <c r="D367" s="2" t="str">
        <f>"A158-K2-0003 "</f>
        <v>A158-K2-0003 </v>
      </c>
      <c r="E367" s="2" t="str">
        <f>"Blok Porodowy"</f>
        <v>Blok Porodowy</v>
      </c>
      <c r="F367" s="2">
        <v>2011</v>
      </c>
      <c r="G367" s="2" t="str">
        <f>"Trident Med."</f>
        <v>Trident Med.</v>
      </c>
      <c r="H367" s="2" t="str">
        <f>"12 mies."</f>
        <v>12 mies.</v>
      </c>
      <c r="I367" s="2" t="s">
        <v>286</v>
      </c>
    </row>
    <row r="368" spans="1:9" ht="51">
      <c r="A368" s="1" t="s">
        <v>4</v>
      </c>
      <c r="B368" s="2" t="str">
        <f>"Stół operacyjny"</f>
        <v>Stół operacyjny</v>
      </c>
      <c r="C368" s="2" t="str">
        <f>"Dr Max 7000s"</f>
        <v>Dr Max 7000s</v>
      </c>
      <c r="D368" s="2" t="str">
        <f>"A158-K2-0004"</f>
        <v>A158-K2-0004</v>
      </c>
      <c r="E368" s="2" t="str">
        <f>"Oddz. Klin. Anestezjologii i Inten.Terapii"</f>
        <v>Oddz. Klin. Anestezjologii i Inten.Terapii</v>
      </c>
      <c r="F368" s="2">
        <v>2011</v>
      </c>
      <c r="G368" s="2" t="str">
        <f>"Trident Med."</f>
        <v>Trident Med.</v>
      </c>
      <c r="H368" s="2" t="str">
        <f>"12 mies."</f>
        <v>12 mies.</v>
      </c>
      <c r="I368" s="2" t="s">
        <v>286</v>
      </c>
    </row>
    <row r="369" ht="15">
      <c r="A369" s="26"/>
    </row>
    <row r="370" spans="2:9" ht="15">
      <c r="B370" s="73" t="s">
        <v>114</v>
      </c>
      <c r="C370" s="73"/>
      <c r="G370" s="73" t="s">
        <v>115</v>
      </c>
      <c r="H370" s="73"/>
      <c r="I370" s="73"/>
    </row>
    <row r="375" spans="1:9" ht="30.75" customHeight="1">
      <c r="A375" s="65" t="s">
        <v>288</v>
      </c>
      <c r="B375" s="65"/>
      <c r="C375" s="65"/>
      <c r="D375" s="65"/>
      <c r="E375" s="65"/>
      <c r="F375" s="65"/>
      <c r="G375" s="65"/>
      <c r="H375" s="65"/>
      <c r="I375" s="65"/>
    </row>
    <row r="377" spans="1:9" ht="51">
      <c r="A377" s="1" t="s">
        <v>1</v>
      </c>
      <c r="B377" s="2" t="str">
        <f>"Nazwa urządzenia"</f>
        <v>Nazwa urządzenia</v>
      </c>
      <c r="C377" s="2" t="str">
        <f>"Typ"</f>
        <v>Typ</v>
      </c>
      <c r="D377" s="2" t="str">
        <f>"Nr Seryjny"</f>
        <v>Nr Seryjny</v>
      </c>
      <c r="E377" s="2" t="str">
        <f>"Jednostka Organizacyjna"</f>
        <v>Jednostka Organizacyjna</v>
      </c>
      <c r="F377" s="2" t="str">
        <f>"Rok Produkcji"</f>
        <v>Rok Produkcji</v>
      </c>
      <c r="G377" s="2" t="str">
        <f>"Producent"</f>
        <v>Producent</v>
      </c>
      <c r="H377" s="2" t="str">
        <f>"Częst. przeglądu"</f>
        <v>Częst. przeglądu</v>
      </c>
      <c r="I377" s="2" t="s">
        <v>117</v>
      </c>
    </row>
    <row r="378" spans="1:9" ht="51">
      <c r="A378" s="1" t="s">
        <v>2</v>
      </c>
      <c r="B378" s="2" t="str">
        <f>"Aparat do usuwania wydzieliny z oskrzeli "</f>
        <v>Aparat do usuwania wydzieliny z oskrzeli </v>
      </c>
      <c r="C378" s="2" t="str">
        <f>"Cough Assist CA-3200"</f>
        <v>Cough Assist CA-3200</v>
      </c>
      <c r="D378" s="2" t="str">
        <f>"O13315 "</f>
        <v>O13315 </v>
      </c>
      <c r="E378" s="2" t="str">
        <f>"Oddz. Klin. Anestezjologii i Inten.Terapii"</f>
        <v>Oddz. Klin. Anestezjologii i Inten.Terapii</v>
      </c>
      <c r="F378" s="2">
        <v>2011</v>
      </c>
      <c r="G378" s="2" t="str">
        <f>"Respironics"</f>
        <v>Respironics</v>
      </c>
      <c r="H378" s="2" t="str">
        <f>"12 mies."</f>
        <v>12 mies.</v>
      </c>
      <c r="I378" s="2" t="s">
        <v>286</v>
      </c>
    </row>
    <row r="380" spans="2:9" ht="15">
      <c r="B380" s="73" t="s">
        <v>114</v>
      </c>
      <c r="C380" s="73"/>
      <c r="G380" s="73" t="s">
        <v>115</v>
      </c>
      <c r="H380" s="73"/>
      <c r="I380" s="73"/>
    </row>
    <row r="385" spans="1:9" ht="27.75" customHeight="1">
      <c r="A385" s="65" t="s">
        <v>232</v>
      </c>
      <c r="B385" s="65"/>
      <c r="C385" s="65"/>
      <c r="D385" s="65"/>
      <c r="E385" s="65"/>
      <c r="F385" s="65"/>
      <c r="G385" s="65"/>
      <c r="H385" s="65"/>
      <c r="I385" s="65"/>
    </row>
    <row r="387" spans="1:9" ht="51">
      <c r="A387" s="1" t="s">
        <v>1</v>
      </c>
      <c r="B387" s="2" t="str">
        <f>"Nazwa urządzenia"</f>
        <v>Nazwa urządzenia</v>
      </c>
      <c r="C387" s="2" t="str">
        <f>"Typ"</f>
        <v>Typ</v>
      </c>
      <c r="D387" s="2" t="str">
        <f>"Nr Seryjny"</f>
        <v>Nr Seryjny</v>
      </c>
      <c r="E387" s="2" t="str">
        <f>"Jednostka Organizacyjna"</f>
        <v>Jednostka Organizacyjna</v>
      </c>
      <c r="F387" s="2" t="str">
        <f>"Rok Produkcji"</f>
        <v>Rok Produkcji</v>
      </c>
      <c r="G387" s="2" t="str">
        <f>"Producent"</f>
        <v>Producent</v>
      </c>
      <c r="H387" s="2" t="str">
        <f>"Częst. przeglądu"</f>
        <v>Częst. przeglądu</v>
      </c>
      <c r="I387" s="2" t="s">
        <v>117</v>
      </c>
    </row>
    <row r="388" spans="1:9" ht="51">
      <c r="A388" s="94" t="s">
        <v>2</v>
      </c>
      <c r="B388" s="6" t="s">
        <v>207</v>
      </c>
      <c r="C388" s="6" t="s">
        <v>208</v>
      </c>
      <c r="D388" s="6">
        <v>10110608</v>
      </c>
      <c r="E388" s="86" t="s">
        <v>209</v>
      </c>
      <c r="F388" s="86">
        <v>2011</v>
      </c>
      <c r="G388" s="86" t="s">
        <v>210</v>
      </c>
      <c r="H388" s="86" t="s">
        <v>160</v>
      </c>
      <c r="I388" s="86" t="s">
        <v>286</v>
      </c>
    </row>
    <row r="389" spans="1:9" ht="38.25">
      <c r="A389" s="95"/>
      <c r="B389" s="2" t="s">
        <v>211</v>
      </c>
      <c r="C389" s="2" t="s">
        <v>220</v>
      </c>
      <c r="D389" s="2">
        <v>10110608</v>
      </c>
      <c r="E389" s="87"/>
      <c r="F389" s="87"/>
      <c r="G389" s="87"/>
      <c r="H389" s="87"/>
      <c r="I389" s="87"/>
    </row>
    <row r="390" spans="1:9" ht="38.25">
      <c r="A390" s="95"/>
      <c r="B390" s="2" t="s">
        <v>212</v>
      </c>
      <c r="C390" s="2" t="s">
        <v>221</v>
      </c>
      <c r="D390" s="2" t="s">
        <v>228</v>
      </c>
      <c r="E390" s="87"/>
      <c r="F390" s="87"/>
      <c r="G390" s="87"/>
      <c r="H390" s="87"/>
      <c r="I390" s="87"/>
    </row>
    <row r="391" spans="1:9" ht="38.25">
      <c r="A391" s="95"/>
      <c r="B391" s="2" t="s">
        <v>213</v>
      </c>
      <c r="C391" s="2" t="s">
        <v>222</v>
      </c>
      <c r="D391" s="2" t="s">
        <v>229</v>
      </c>
      <c r="E391" s="87"/>
      <c r="F391" s="87"/>
      <c r="G391" s="87"/>
      <c r="H391" s="87"/>
      <c r="I391" s="87"/>
    </row>
    <row r="392" spans="1:9" ht="25.5">
      <c r="A392" s="95"/>
      <c r="B392" s="2" t="s">
        <v>132</v>
      </c>
      <c r="C392" s="2" t="s">
        <v>223</v>
      </c>
      <c r="D392" s="2" t="s">
        <v>230</v>
      </c>
      <c r="E392" s="87"/>
      <c r="F392" s="87"/>
      <c r="G392" s="87"/>
      <c r="H392" s="87"/>
      <c r="I392" s="87"/>
    </row>
    <row r="393" spans="1:9" ht="25.5">
      <c r="A393" s="95"/>
      <c r="B393" s="2" t="s">
        <v>214</v>
      </c>
      <c r="C393" s="2" t="s">
        <v>223</v>
      </c>
      <c r="D393" s="2" t="s">
        <v>231</v>
      </c>
      <c r="E393" s="87"/>
      <c r="F393" s="87"/>
      <c r="G393" s="87"/>
      <c r="H393" s="87"/>
      <c r="I393" s="87"/>
    </row>
    <row r="394" spans="1:9" ht="25.5">
      <c r="A394" s="95"/>
      <c r="B394" s="2" t="s">
        <v>215</v>
      </c>
      <c r="C394" s="2" t="s">
        <v>224</v>
      </c>
      <c r="D394" s="2">
        <v>11040802</v>
      </c>
      <c r="E394" s="87"/>
      <c r="F394" s="87"/>
      <c r="G394" s="87"/>
      <c r="H394" s="87"/>
      <c r="I394" s="87"/>
    </row>
    <row r="395" spans="1:9" ht="51">
      <c r="A395" s="95"/>
      <c r="B395" s="2" t="s">
        <v>216</v>
      </c>
      <c r="C395" s="2" t="s">
        <v>224</v>
      </c>
      <c r="D395" s="2">
        <v>20280999</v>
      </c>
      <c r="E395" s="87"/>
      <c r="F395" s="87"/>
      <c r="G395" s="87"/>
      <c r="H395" s="87"/>
      <c r="I395" s="87"/>
    </row>
    <row r="396" spans="1:9" ht="51">
      <c r="A396" s="95"/>
      <c r="B396" s="2" t="s">
        <v>216</v>
      </c>
      <c r="C396" s="2" t="s">
        <v>225</v>
      </c>
      <c r="D396" s="2">
        <v>6081602</v>
      </c>
      <c r="E396" s="87"/>
      <c r="F396" s="87"/>
      <c r="G396" s="87"/>
      <c r="H396" s="87"/>
      <c r="I396" s="87"/>
    </row>
    <row r="397" spans="1:9" ht="25.5">
      <c r="A397" s="95"/>
      <c r="B397" s="2" t="s">
        <v>217</v>
      </c>
      <c r="C397" s="2" t="s">
        <v>224</v>
      </c>
      <c r="D397" s="2">
        <v>20277373</v>
      </c>
      <c r="E397" s="87"/>
      <c r="F397" s="87"/>
      <c r="G397" s="87"/>
      <c r="H397" s="87"/>
      <c r="I397" s="87"/>
    </row>
    <row r="398" spans="1:9" ht="38.25">
      <c r="A398" s="95"/>
      <c r="B398" s="2" t="s">
        <v>218</v>
      </c>
      <c r="C398" s="2" t="s">
        <v>226</v>
      </c>
      <c r="D398" s="2"/>
      <c r="E398" s="87"/>
      <c r="F398" s="87"/>
      <c r="G398" s="87"/>
      <c r="H398" s="87"/>
      <c r="I398" s="87"/>
    </row>
    <row r="399" spans="1:9" ht="15">
      <c r="A399" s="96"/>
      <c r="B399" s="2" t="s">
        <v>219</v>
      </c>
      <c r="C399" s="2" t="s">
        <v>227</v>
      </c>
      <c r="D399" s="2">
        <v>11030603</v>
      </c>
      <c r="E399" s="88"/>
      <c r="F399" s="88"/>
      <c r="G399" s="88"/>
      <c r="H399" s="88"/>
      <c r="I399" s="88"/>
    </row>
    <row r="401" spans="2:9" ht="15">
      <c r="B401" s="73" t="s">
        <v>114</v>
      </c>
      <c r="C401" s="73"/>
      <c r="G401" s="73" t="s">
        <v>115</v>
      </c>
      <c r="H401" s="73"/>
      <c r="I401" s="73"/>
    </row>
    <row r="406" spans="1:9" ht="26.25" customHeight="1">
      <c r="A406" s="65" t="s">
        <v>289</v>
      </c>
      <c r="B406" s="65"/>
      <c r="C406" s="65"/>
      <c r="D406" s="65"/>
      <c r="E406" s="65"/>
      <c r="F406" s="65"/>
      <c r="G406" s="65"/>
      <c r="H406" s="65"/>
      <c r="I406" s="65"/>
    </row>
    <row r="408" spans="1:9" ht="51">
      <c r="A408" s="1" t="s">
        <v>1</v>
      </c>
      <c r="B408" s="2" t="str">
        <f>"Nazwa urządzenia"</f>
        <v>Nazwa urządzenia</v>
      </c>
      <c r="C408" s="2" t="str">
        <f>"Typ"</f>
        <v>Typ</v>
      </c>
      <c r="D408" s="2" t="str">
        <f>"Nr Seryjny"</f>
        <v>Nr Seryjny</v>
      </c>
      <c r="E408" s="2" t="str">
        <f>"Jednostka Organizacyjna"</f>
        <v>Jednostka Organizacyjna</v>
      </c>
      <c r="F408" s="2" t="str">
        <f>"Rok Produkcji"</f>
        <v>Rok Produkcji</v>
      </c>
      <c r="G408" s="2" t="str">
        <f>"Producent"</f>
        <v>Producent</v>
      </c>
      <c r="H408" s="2" t="str">
        <f>"Częst. przeglądu"</f>
        <v>Częst. przeglądu</v>
      </c>
      <c r="I408" s="2" t="s">
        <v>117</v>
      </c>
    </row>
    <row r="409" spans="1:9" ht="51">
      <c r="A409" s="1" t="s">
        <v>2</v>
      </c>
      <c r="B409" s="2" t="s">
        <v>233</v>
      </c>
      <c r="C409" s="2" t="str">
        <f>"AutoPuls "</f>
        <v>AutoPuls </v>
      </c>
      <c r="D409" s="2" t="str">
        <f>"11397R "</f>
        <v>11397R </v>
      </c>
      <c r="E409" s="2" t="str">
        <f>"Szpitalny Oddział Ratunkowy-Klin.Med.Rat"</f>
        <v>Szpitalny Oddział Ratunkowy-Klin.Med.Rat</v>
      </c>
      <c r="F409" s="2">
        <v>2009</v>
      </c>
      <c r="G409" s="2" t="str">
        <f>"Zoll"</f>
        <v>Zoll</v>
      </c>
      <c r="H409" s="2" t="str">
        <f>"12 mies."</f>
        <v>12 mies.</v>
      </c>
      <c r="I409" s="2" t="s">
        <v>286</v>
      </c>
    </row>
    <row r="410" spans="1:9" ht="51">
      <c r="A410" s="1" t="s">
        <v>3</v>
      </c>
      <c r="B410" s="2" t="s">
        <v>233</v>
      </c>
      <c r="C410" s="2" t="str">
        <f>"AutoPuls Plus "</f>
        <v>AutoPuls Plus </v>
      </c>
      <c r="D410" s="2" t="str">
        <f>"40059 "</f>
        <v>40059 </v>
      </c>
      <c r="E410" s="2" t="str">
        <f>"Pracownia Hemodynamiki"</f>
        <v>Pracownia Hemodynamiki</v>
      </c>
      <c r="F410" s="2">
        <v>2011</v>
      </c>
      <c r="G410" s="2" t="str">
        <f>"Zoll"</f>
        <v>Zoll</v>
      </c>
      <c r="H410" s="2" t="str">
        <f>"12 mies."</f>
        <v>12 mies.</v>
      </c>
      <c r="I410" s="2" t="s">
        <v>286</v>
      </c>
    </row>
    <row r="411" spans="1:9" ht="51">
      <c r="A411" s="1" t="s">
        <v>4</v>
      </c>
      <c r="B411" s="2" t="s">
        <v>233</v>
      </c>
      <c r="C411" s="2" t="str">
        <f>"LUCAS TM"</f>
        <v>LUCAS TM</v>
      </c>
      <c r="D411" s="2" t="str">
        <f>"14074180 "</f>
        <v>14074180 </v>
      </c>
      <c r="E411" s="2" t="str">
        <f>"Pracownia Hemodynamiki"</f>
        <v>Pracownia Hemodynamiki</v>
      </c>
      <c r="F411" s="2">
        <v>2007</v>
      </c>
      <c r="G411" s="2" t="str">
        <f>"JOLIFE AB"</f>
        <v>JOLIFE AB</v>
      </c>
      <c r="H411" s="2" t="str">
        <f>"12 mies."</f>
        <v>12 mies.</v>
      </c>
      <c r="I411" s="2" t="s">
        <v>286</v>
      </c>
    </row>
    <row r="413" spans="2:9" ht="15">
      <c r="B413" s="73" t="s">
        <v>114</v>
      </c>
      <c r="C413" s="73"/>
      <c r="G413" s="73" t="s">
        <v>115</v>
      </c>
      <c r="H413" s="73"/>
      <c r="I413" s="73"/>
    </row>
    <row r="418" spans="1:9" ht="24.75" customHeight="1">
      <c r="A418" s="65" t="s">
        <v>234</v>
      </c>
      <c r="B418" s="65"/>
      <c r="C418" s="65"/>
      <c r="D418" s="65"/>
      <c r="E418" s="65"/>
      <c r="F418" s="65"/>
      <c r="G418" s="65"/>
      <c r="H418" s="65"/>
      <c r="I418" s="65"/>
    </row>
    <row r="420" spans="1:9" ht="51">
      <c r="A420" s="1" t="s">
        <v>1</v>
      </c>
      <c r="B420" s="2" t="str">
        <f>"Nazwa urządzenia"</f>
        <v>Nazwa urządzenia</v>
      </c>
      <c r="C420" s="2" t="str">
        <f>"Typ"</f>
        <v>Typ</v>
      </c>
      <c r="D420" s="2" t="str">
        <f>"Nr Seryjny"</f>
        <v>Nr Seryjny</v>
      </c>
      <c r="E420" s="2" t="str">
        <f>"Jednostka Organizacyjna"</f>
        <v>Jednostka Organizacyjna</v>
      </c>
      <c r="F420" s="2" t="str">
        <f>"Rok Produkcji"</f>
        <v>Rok Produkcji</v>
      </c>
      <c r="G420" s="2" t="str">
        <f>"Producent"</f>
        <v>Producent</v>
      </c>
      <c r="H420" s="2" t="str">
        <f>"Częst. przeglądu"</f>
        <v>Częst. przeglądu</v>
      </c>
      <c r="I420" s="2" t="s">
        <v>117</v>
      </c>
    </row>
    <row r="421" spans="1:9" ht="51">
      <c r="A421" s="94" t="s">
        <v>2</v>
      </c>
      <c r="B421" s="6" t="str">
        <f>"Aparat do fakoemulsyfikacji oraz witrektomii"</f>
        <v>Aparat do fakoemulsyfikacji oraz witrektomii</v>
      </c>
      <c r="C421" s="6" t="str">
        <f>"associate 2500 6700.C"</f>
        <v>associate 2500 6700.C</v>
      </c>
      <c r="D421" s="6" t="str">
        <f>"201151779 + 0967 + 00298 "</f>
        <v>201151779 + 0967 + 00298 </v>
      </c>
      <c r="E421" s="86" t="str">
        <f>"Sala Op.Przykliniczna Okulistyczna"</f>
        <v>Sala Op.Przykliniczna Okulistyczna</v>
      </c>
      <c r="F421" s="86">
        <v>2011</v>
      </c>
      <c r="G421" s="86" t="str">
        <f>"DORC"</f>
        <v>DORC</v>
      </c>
      <c r="H421" s="86" t="str">
        <f>"12 mies."</f>
        <v>12 mies.</v>
      </c>
      <c r="I421" s="2" t="s">
        <v>286</v>
      </c>
    </row>
    <row r="422" spans="1:9" ht="51">
      <c r="A422" s="95"/>
      <c r="B422" s="2" t="str">
        <f>"Kroplówka automatyczna"</f>
        <v>Kroplówka automatyczna</v>
      </c>
      <c r="C422" s="2" t="str">
        <f>"-"</f>
        <v>-</v>
      </c>
      <c r="D422" s="2" t="str">
        <f>"0967 "</f>
        <v>0967 </v>
      </c>
      <c r="E422" s="87"/>
      <c r="F422" s="87"/>
      <c r="G422" s="87"/>
      <c r="H422" s="87"/>
      <c r="I422" s="2" t="s">
        <v>286</v>
      </c>
    </row>
    <row r="423" spans="1:9" ht="51">
      <c r="A423" s="96"/>
      <c r="B423" s="2" t="str">
        <f>"Sterownik nożny "</f>
        <v>Sterownik nożny </v>
      </c>
      <c r="C423" s="2" t="str">
        <f>"-"</f>
        <v>-</v>
      </c>
      <c r="D423" s="2" t="str">
        <f>"00298 "</f>
        <v>00298 </v>
      </c>
      <c r="E423" s="88"/>
      <c r="F423" s="88"/>
      <c r="G423" s="88"/>
      <c r="H423" s="88"/>
      <c r="I423" s="2" t="s">
        <v>286</v>
      </c>
    </row>
    <row r="424" spans="1:9" ht="51">
      <c r="A424" s="74">
        <v>2</v>
      </c>
      <c r="B424" s="6" t="str">
        <f>"Aparat do fakoemulsyfikacji oraz witrektomii"</f>
        <v>Aparat do fakoemulsyfikacji oraz witrektomii</v>
      </c>
      <c r="C424" s="6" t="str">
        <f>"associate 2500 6700.C"</f>
        <v>associate 2500 6700.C</v>
      </c>
      <c r="D424" s="6" t="str">
        <f>"200751455 "</f>
        <v>200751455 </v>
      </c>
      <c r="E424" s="86" t="str">
        <f>"Sala Op.Przykliniczna Okulistyczna"</f>
        <v>Sala Op.Przykliniczna Okulistyczna</v>
      </c>
      <c r="F424" s="86">
        <v>2007</v>
      </c>
      <c r="G424" s="86" t="str">
        <f>"DORC"</f>
        <v>DORC</v>
      </c>
      <c r="H424" s="86" t="str">
        <f>"12 mies."</f>
        <v>12 mies.</v>
      </c>
      <c r="I424" s="2" t="s">
        <v>286</v>
      </c>
    </row>
    <row r="425" spans="1:9" ht="51">
      <c r="A425" s="74"/>
      <c r="B425" s="2" t="str">
        <f>"Kompresor"</f>
        <v>Kompresor</v>
      </c>
      <c r="C425" s="2" t="str">
        <f>"Silent Blue"</f>
        <v>Silent Blue</v>
      </c>
      <c r="D425" s="2" t="str">
        <f>"000709454"</f>
        <v>000709454</v>
      </c>
      <c r="E425" s="87"/>
      <c r="F425" s="87"/>
      <c r="G425" s="87"/>
      <c r="H425" s="87"/>
      <c r="I425" s="2" t="s">
        <v>286</v>
      </c>
    </row>
    <row r="426" spans="1:9" ht="51">
      <c r="A426" s="74"/>
      <c r="B426" s="2" t="str">
        <f>"Kroplówka automatyczna"</f>
        <v>Kroplówka automatyczna</v>
      </c>
      <c r="C426" s="2" t="str">
        <f>"-"</f>
        <v>-</v>
      </c>
      <c r="D426" s="2" t="str">
        <f>"0756 "</f>
        <v>0756 </v>
      </c>
      <c r="E426" s="87"/>
      <c r="F426" s="87"/>
      <c r="G426" s="87"/>
      <c r="H426" s="87"/>
      <c r="I426" s="2" t="s">
        <v>286</v>
      </c>
    </row>
    <row r="427" spans="1:9" ht="51">
      <c r="A427" s="74"/>
      <c r="B427" s="2" t="str">
        <f>"Sterownik nożny "</f>
        <v>Sterownik nożny </v>
      </c>
      <c r="C427" s="2" t="str">
        <f>"-"</f>
        <v>-</v>
      </c>
      <c r="D427" s="2" t="str">
        <f>"1.0892 "</f>
        <v>1.0892 </v>
      </c>
      <c r="E427" s="87"/>
      <c r="F427" s="87"/>
      <c r="G427" s="87"/>
      <c r="H427" s="87"/>
      <c r="I427" s="2" t="s">
        <v>286</v>
      </c>
    </row>
    <row r="428" spans="1:9" ht="51">
      <c r="A428" s="74"/>
      <c r="B428" s="2" t="str">
        <f>"Źródło światła "</f>
        <v>Źródło światła </v>
      </c>
      <c r="C428" s="2" t="str">
        <f>"Xenon Brightstar"</f>
        <v>Xenon Brightstar</v>
      </c>
      <c r="D428" s="2" t="str">
        <f>"200883456 (200783408)"</f>
        <v>200883456 (200783408)</v>
      </c>
      <c r="E428" s="88"/>
      <c r="F428" s="88"/>
      <c r="G428" s="88"/>
      <c r="H428" s="88"/>
      <c r="I428" s="2" t="s">
        <v>286</v>
      </c>
    </row>
    <row r="430" spans="2:9" ht="15">
      <c r="B430" s="73" t="s">
        <v>114</v>
      </c>
      <c r="C430" s="73"/>
      <c r="G430" s="73" t="s">
        <v>115</v>
      </c>
      <c r="H430" s="73"/>
      <c r="I430" s="73"/>
    </row>
    <row r="435" spans="1:9" ht="25.5" customHeight="1">
      <c r="A435" s="65" t="s">
        <v>248</v>
      </c>
      <c r="B435" s="65"/>
      <c r="C435" s="65"/>
      <c r="D435" s="65"/>
      <c r="E435" s="65"/>
      <c r="F435" s="65"/>
      <c r="G435" s="65"/>
      <c r="H435" s="65"/>
      <c r="I435" s="65"/>
    </row>
    <row r="437" spans="1:9" ht="51">
      <c r="A437" s="29" t="s">
        <v>1</v>
      </c>
      <c r="B437" s="29" t="s">
        <v>235</v>
      </c>
      <c r="C437" s="29" t="s">
        <v>236</v>
      </c>
      <c r="D437" s="29" t="s">
        <v>241</v>
      </c>
      <c r="E437" s="29" t="s">
        <v>242</v>
      </c>
      <c r="F437" s="2" t="str">
        <f>"Rok Produkcji"</f>
        <v>Rok Produkcji</v>
      </c>
      <c r="G437" s="2" t="str">
        <f>"Częst. przeglądu"</f>
        <v>Częst. przeglądu</v>
      </c>
      <c r="H437" s="29" t="s">
        <v>243</v>
      </c>
      <c r="I437" s="29" t="s">
        <v>244</v>
      </c>
    </row>
    <row r="438" spans="1:9" ht="76.5">
      <c r="A438" s="31">
        <v>1</v>
      </c>
      <c r="B438" s="29" t="s">
        <v>237</v>
      </c>
      <c r="C438" s="29" t="s">
        <v>238</v>
      </c>
      <c r="D438" s="29" t="s">
        <v>245</v>
      </c>
      <c r="E438" s="29" t="s">
        <v>246</v>
      </c>
      <c r="F438" s="29">
        <v>2008</v>
      </c>
      <c r="G438" s="30" t="s">
        <v>296</v>
      </c>
      <c r="H438" s="29" t="s">
        <v>160</v>
      </c>
      <c r="I438" s="2" t="s">
        <v>286</v>
      </c>
    </row>
    <row r="439" spans="1:9" ht="51">
      <c r="A439" s="31">
        <v>2</v>
      </c>
      <c r="B439" s="29" t="s">
        <v>239</v>
      </c>
      <c r="C439" s="29" t="s">
        <v>240</v>
      </c>
      <c r="D439" s="29" t="s">
        <v>247</v>
      </c>
      <c r="E439" s="29" t="s">
        <v>246</v>
      </c>
      <c r="F439" s="29">
        <v>2012</v>
      </c>
      <c r="G439" s="30" t="s">
        <v>296</v>
      </c>
      <c r="H439" s="29" t="s">
        <v>160</v>
      </c>
      <c r="I439" s="2" t="s">
        <v>286</v>
      </c>
    </row>
    <row r="441" spans="2:9" ht="15">
      <c r="B441" s="67" t="s">
        <v>114</v>
      </c>
      <c r="C441" s="67"/>
      <c r="D441" s="3"/>
      <c r="E441" s="3"/>
      <c r="F441" s="3"/>
      <c r="G441" s="67" t="s">
        <v>115</v>
      </c>
      <c r="H441" s="67"/>
      <c r="I441" s="67"/>
    </row>
    <row r="446" spans="1:9" ht="25.5" customHeight="1">
      <c r="A446" s="65" t="s">
        <v>265</v>
      </c>
      <c r="B446" s="65"/>
      <c r="C446" s="65"/>
      <c r="D446" s="65"/>
      <c r="E446" s="65"/>
      <c r="F446" s="65"/>
      <c r="G446" s="65"/>
      <c r="H446" s="65"/>
      <c r="I446" s="65"/>
    </row>
    <row r="448" spans="1:9" ht="15">
      <c r="A448" s="68" t="s">
        <v>1</v>
      </c>
      <c r="B448" s="69" t="s">
        <v>235</v>
      </c>
      <c r="C448" s="70" t="s">
        <v>236</v>
      </c>
      <c r="D448" s="69" t="s">
        <v>241</v>
      </c>
      <c r="E448" s="69" t="s">
        <v>242</v>
      </c>
      <c r="F448" s="71" t="s">
        <v>116</v>
      </c>
      <c r="G448" s="71" t="s">
        <v>249</v>
      </c>
      <c r="H448" s="71" t="s">
        <v>250</v>
      </c>
      <c r="I448" s="69" t="s">
        <v>244</v>
      </c>
    </row>
    <row r="449" spans="1:9" ht="43.5" customHeight="1">
      <c r="A449" s="68"/>
      <c r="B449" s="69"/>
      <c r="C449" s="70"/>
      <c r="D449" s="69"/>
      <c r="E449" s="69"/>
      <c r="F449" s="72"/>
      <c r="G449" s="72"/>
      <c r="H449" s="72"/>
      <c r="I449" s="69"/>
    </row>
    <row r="450" spans="1:9" ht="63.75">
      <c r="A450" s="32" t="s">
        <v>2</v>
      </c>
      <c r="B450" s="30" t="s">
        <v>251</v>
      </c>
      <c r="C450" s="30" t="s">
        <v>252</v>
      </c>
      <c r="D450" s="30">
        <v>19833776</v>
      </c>
      <c r="E450" s="30" t="s">
        <v>253</v>
      </c>
      <c r="F450" s="30">
        <v>2008</v>
      </c>
      <c r="G450" s="30" t="s">
        <v>254</v>
      </c>
      <c r="H450" s="14" t="s">
        <v>255</v>
      </c>
      <c r="I450" s="58">
        <v>43627</v>
      </c>
    </row>
    <row r="451" spans="1:9" ht="63.75">
      <c r="A451" s="32" t="s">
        <v>3</v>
      </c>
      <c r="B451" s="30" t="s">
        <v>251</v>
      </c>
      <c r="C451" s="30" t="s">
        <v>252</v>
      </c>
      <c r="D451" s="30">
        <v>19955139</v>
      </c>
      <c r="E451" s="30" t="s">
        <v>253</v>
      </c>
      <c r="F451" s="30">
        <v>2008</v>
      </c>
      <c r="G451" s="30" t="s">
        <v>254</v>
      </c>
      <c r="H451" s="14" t="s">
        <v>255</v>
      </c>
      <c r="I451" s="58">
        <v>43627</v>
      </c>
    </row>
    <row r="452" spans="1:9" ht="63.75">
      <c r="A452" s="32" t="s">
        <v>4</v>
      </c>
      <c r="B452" s="30" t="s">
        <v>251</v>
      </c>
      <c r="C452" s="30" t="s">
        <v>252</v>
      </c>
      <c r="D452" s="30">
        <v>19955132</v>
      </c>
      <c r="E452" s="30" t="s">
        <v>253</v>
      </c>
      <c r="F452" s="30">
        <v>2008</v>
      </c>
      <c r="G452" s="30" t="s">
        <v>254</v>
      </c>
      <c r="H452" s="14" t="s">
        <v>255</v>
      </c>
      <c r="I452" s="58">
        <v>43627</v>
      </c>
    </row>
    <row r="453" spans="1:9" ht="63.75">
      <c r="A453" s="32" t="s">
        <v>5</v>
      </c>
      <c r="B453" s="30" t="s">
        <v>251</v>
      </c>
      <c r="C453" s="30" t="s">
        <v>252</v>
      </c>
      <c r="D453" s="30">
        <v>19833783</v>
      </c>
      <c r="E453" s="30" t="s">
        <v>256</v>
      </c>
      <c r="F453" s="30">
        <v>2008</v>
      </c>
      <c r="G453" s="30" t="s">
        <v>254</v>
      </c>
      <c r="H453" s="14" t="s">
        <v>255</v>
      </c>
      <c r="I453" s="58">
        <v>43627</v>
      </c>
    </row>
    <row r="454" spans="1:9" ht="63.75">
      <c r="A454" s="32" t="s">
        <v>6</v>
      </c>
      <c r="B454" s="30" t="s">
        <v>251</v>
      </c>
      <c r="C454" s="30" t="s">
        <v>252</v>
      </c>
      <c r="D454" s="30">
        <v>19955149</v>
      </c>
      <c r="E454" s="30" t="s">
        <v>257</v>
      </c>
      <c r="F454" s="30">
        <v>2008</v>
      </c>
      <c r="G454" s="30" t="s">
        <v>254</v>
      </c>
      <c r="H454" s="14" t="s">
        <v>255</v>
      </c>
      <c r="I454" s="58">
        <v>43627</v>
      </c>
    </row>
    <row r="455" spans="1:9" ht="63.75">
      <c r="A455" s="32" t="s">
        <v>7</v>
      </c>
      <c r="B455" s="30" t="s">
        <v>251</v>
      </c>
      <c r="C455" s="30" t="s">
        <v>258</v>
      </c>
      <c r="D455" s="30">
        <v>19833777</v>
      </c>
      <c r="E455" s="30" t="s">
        <v>259</v>
      </c>
      <c r="F455" s="30">
        <v>2008</v>
      </c>
      <c r="G455" s="30" t="s">
        <v>254</v>
      </c>
      <c r="H455" s="14" t="s">
        <v>255</v>
      </c>
      <c r="I455" s="58">
        <v>43627</v>
      </c>
    </row>
    <row r="456" spans="1:9" ht="63.75">
      <c r="A456" s="32" t="s">
        <v>8</v>
      </c>
      <c r="B456" s="30" t="s">
        <v>251</v>
      </c>
      <c r="C456" s="30" t="s">
        <v>252</v>
      </c>
      <c r="D456" s="30">
        <v>19955145</v>
      </c>
      <c r="E456" s="30" t="s">
        <v>260</v>
      </c>
      <c r="F456" s="30">
        <v>2008</v>
      </c>
      <c r="G456" s="30" t="s">
        <v>254</v>
      </c>
      <c r="H456" s="14" t="s">
        <v>255</v>
      </c>
      <c r="I456" s="58">
        <v>43627</v>
      </c>
    </row>
    <row r="457" spans="1:9" ht="63.75">
      <c r="A457" s="32" t="s">
        <v>9</v>
      </c>
      <c r="B457" s="30" t="s">
        <v>251</v>
      </c>
      <c r="C457" s="30" t="s">
        <v>252</v>
      </c>
      <c r="D457" s="30">
        <v>19833743</v>
      </c>
      <c r="E457" s="30" t="s">
        <v>253</v>
      </c>
      <c r="F457" s="30">
        <v>2008</v>
      </c>
      <c r="G457" s="30" t="s">
        <v>254</v>
      </c>
      <c r="H457" s="14" t="s">
        <v>255</v>
      </c>
      <c r="I457" s="58">
        <v>43627</v>
      </c>
    </row>
    <row r="458" spans="1:9" ht="63.75">
      <c r="A458" s="32" t="s">
        <v>10</v>
      </c>
      <c r="B458" s="30" t="s">
        <v>251</v>
      </c>
      <c r="C458" s="30" t="s">
        <v>252</v>
      </c>
      <c r="D458" s="30">
        <v>19955150</v>
      </c>
      <c r="E458" s="30" t="s">
        <v>253</v>
      </c>
      <c r="F458" s="30">
        <v>2008</v>
      </c>
      <c r="G458" s="30" t="s">
        <v>254</v>
      </c>
      <c r="H458" s="14" t="s">
        <v>255</v>
      </c>
      <c r="I458" s="58">
        <v>43627</v>
      </c>
    </row>
    <row r="459" spans="1:9" ht="63.75">
      <c r="A459" s="32" t="s">
        <v>11</v>
      </c>
      <c r="B459" s="30" t="s">
        <v>251</v>
      </c>
      <c r="C459" s="30" t="s">
        <v>252</v>
      </c>
      <c r="D459" s="30">
        <v>19955137</v>
      </c>
      <c r="E459" s="30" t="s">
        <v>253</v>
      </c>
      <c r="F459" s="30">
        <v>2008</v>
      </c>
      <c r="G459" s="30" t="s">
        <v>254</v>
      </c>
      <c r="H459" s="14" t="s">
        <v>255</v>
      </c>
      <c r="I459" s="58">
        <v>43627</v>
      </c>
    </row>
    <row r="460" spans="1:9" ht="63.75">
      <c r="A460" s="32" t="s">
        <v>12</v>
      </c>
      <c r="B460" s="30" t="s">
        <v>251</v>
      </c>
      <c r="C460" s="30" t="s">
        <v>252</v>
      </c>
      <c r="D460" s="30">
        <v>19833778</v>
      </c>
      <c r="E460" s="30" t="s">
        <v>253</v>
      </c>
      <c r="F460" s="30">
        <v>2008</v>
      </c>
      <c r="G460" s="30" t="s">
        <v>254</v>
      </c>
      <c r="H460" s="14" t="s">
        <v>255</v>
      </c>
      <c r="I460" s="58">
        <v>43627</v>
      </c>
    </row>
    <row r="461" spans="1:9" ht="63.75">
      <c r="A461" s="32" t="s">
        <v>13</v>
      </c>
      <c r="B461" s="30" t="s">
        <v>251</v>
      </c>
      <c r="C461" s="30" t="s">
        <v>252</v>
      </c>
      <c r="D461" s="30">
        <v>19833773</v>
      </c>
      <c r="E461" s="30" t="s">
        <v>253</v>
      </c>
      <c r="F461" s="30">
        <v>2008</v>
      </c>
      <c r="G461" s="30" t="s">
        <v>254</v>
      </c>
      <c r="H461" s="14" t="s">
        <v>255</v>
      </c>
      <c r="I461" s="58">
        <v>43627</v>
      </c>
    </row>
    <row r="462" spans="1:9" ht="63.75">
      <c r="A462" s="32" t="s">
        <v>14</v>
      </c>
      <c r="B462" s="30" t="s">
        <v>251</v>
      </c>
      <c r="C462" s="30" t="s">
        <v>252</v>
      </c>
      <c r="D462" s="30">
        <v>19955148</v>
      </c>
      <c r="E462" s="30" t="s">
        <v>261</v>
      </c>
      <c r="F462" s="30">
        <v>2008</v>
      </c>
      <c r="G462" s="30" t="s">
        <v>254</v>
      </c>
      <c r="H462" s="14" t="s">
        <v>255</v>
      </c>
      <c r="I462" s="58">
        <v>43627</v>
      </c>
    </row>
    <row r="463" spans="1:9" ht="63.75">
      <c r="A463" s="32" t="s">
        <v>15</v>
      </c>
      <c r="B463" s="30" t="s">
        <v>251</v>
      </c>
      <c r="C463" s="30" t="s">
        <v>252</v>
      </c>
      <c r="D463" s="30">
        <v>19833746</v>
      </c>
      <c r="E463" s="30" t="s">
        <v>253</v>
      </c>
      <c r="F463" s="30">
        <v>2008</v>
      </c>
      <c r="G463" s="30" t="s">
        <v>254</v>
      </c>
      <c r="H463" s="14" t="s">
        <v>255</v>
      </c>
      <c r="I463" s="58">
        <v>43627</v>
      </c>
    </row>
    <row r="464" spans="1:9" ht="63.75">
      <c r="A464" s="32" t="s">
        <v>16</v>
      </c>
      <c r="B464" s="30" t="s">
        <v>251</v>
      </c>
      <c r="C464" s="30" t="s">
        <v>252</v>
      </c>
      <c r="D464" s="30">
        <v>19955136</v>
      </c>
      <c r="E464" s="30" t="s">
        <v>260</v>
      </c>
      <c r="F464" s="30">
        <v>2008</v>
      </c>
      <c r="G464" s="30" t="s">
        <v>254</v>
      </c>
      <c r="H464" s="14" t="s">
        <v>255</v>
      </c>
      <c r="I464" s="58">
        <v>43627</v>
      </c>
    </row>
    <row r="465" spans="1:9" ht="63.75">
      <c r="A465" s="32" t="s">
        <v>17</v>
      </c>
      <c r="B465" s="30" t="s">
        <v>251</v>
      </c>
      <c r="C465" s="30" t="s">
        <v>252</v>
      </c>
      <c r="D465" s="30">
        <v>19833782</v>
      </c>
      <c r="E465" s="30" t="s">
        <v>261</v>
      </c>
      <c r="F465" s="30">
        <v>2008</v>
      </c>
      <c r="G465" s="30" t="s">
        <v>254</v>
      </c>
      <c r="H465" s="14" t="s">
        <v>255</v>
      </c>
      <c r="I465" s="58">
        <v>43627</v>
      </c>
    </row>
    <row r="466" spans="1:9" ht="63.75">
      <c r="A466" s="32" t="s">
        <v>18</v>
      </c>
      <c r="B466" s="30" t="s">
        <v>251</v>
      </c>
      <c r="C466" s="30" t="s">
        <v>252</v>
      </c>
      <c r="D466" s="30">
        <v>19955130</v>
      </c>
      <c r="E466" s="30" t="s">
        <v>253</v>
      </c>
      <c r="F466" s="30">
        <v>2008</v>
      </c>
      <c r="G466" s="30" t="s">
        <v>254</v>
      </c>
      <c r="H466" s="14" t="s">
        <v>255</v>
      </c>
      <c r="I466" s="58">
        <v>43627</v>
      </c>
    </row>
    <row r="467" spans="1:9" ht="63.75">
      <c r="A467" s="32" t="s">
        <v>19</v>
      </c>
      <c r="B467" s="30" t="s">
        <v>251</v>
      </c>
      <c r="C467" s="30" t="s">
        <v>252</v>
      </c>
      <c r="D467" s="30">
        <v>19833784</v>
      </c>
      <c r="E467" s="30" t="s">
        <v>253</v>
      </c>
      <c r="F467" s="30">
        <v>2008</v>
      </c>
      <c r="G467" s="30" t="s">
        <v>254</v>
      </c>
      <c r="H467" s="14" t="s">
        <v>255</v>
      </c>
      <c r="I467" s="58">
        <v>43627</v>
      </c>
    </row>
    <row r="468" spans="1:9" ht="63.75">
      <c r="A468" s="32" t="s">
        <v>20</v>
      </c>
      <c r="B468" s="30" t="s">
        <v>251</v>
      </c>
      <c r="C468" s="30" t="s">
        <v>252</v>
      </c>
      <c r="D468" s="30">
        <v>19955134</v>
      </c>
      <c r="E468" s="30" t="s">
        <v>253</v>
      </c>
      <c r="F468" s="30">
        <v>2008</v>
      </c>
      <c r="G468" s="30" t="s">
        <v>254</v>
      </c>
      <c r="H468" s="14" t="s">
        <v>255</v>
      </c>
      <c r="I468" s="58">
        <v>43627</v>
      </c>
    </row>
    <row r="469" spans="1:9" ht="63.75">
      <c r="A469" s="32" t="s">
        <v>21</v>
      </c>
      <c r="B469" s="30" t="s">
        <v>251</v>
      </c>
      <c r="C469" s="30" t="s">
        <v>252</v>
      </c>
      <c r="D469" s="30" t="s">
        <v>262</v>
      </c>
      <c r="E469" s="30" t="s">
        <v>253</v>
      </c>
      <c r="F469" s="30">
        <v>2008</v>
      </c>
      <c r="G469" s="30" t="s">
        <v>254</v>
      </c>
      <c r="H469" s="14" t="s">
        <v>255</v>
      </c>
      <c r="I469" s="58">
        <v>43627</v>
      </c>
    </row>
    <row r="470" spans="1:9" ht="63.75">
      <c r="A470" s="32" t="s">
        <v>22</v>
      </c>
      <c r="B470" s="30" t="s">
        <v>251</v>
      </c>
      <c r="C470" s="30" t="s">
        <v>252</v>
      </c>
      <c r="D470" s="30">
        <v>19833781</v>
      </c>
      <c r="E470" s="30" t="s">
        <v>253</v>
      </c>
      <c r="F470" s="30">
        <v>2008</v>
      </c>
      <c r="G470" s="30" t="s">
        <v>254</v>
      </c>
      <c r="H470" s="14" t="s">
        <v>255</v>
      </c>
      <c r="I470" s="58">
        <v>43627</v>
      </c>
    </row>
    <row r="471" spans="1:9" ht="63.75">
      <c r="A471" s="32" t="s">
        <v>23</v>
      </c>
      <c r="B471" s="30" t="s">
        <v>251</v>
      </c>
      <c r="C471" s="30" t="s">
        <v>252</v>
      </c>
      <c r="D471" s="30">
        <v>19833744</v>
      </c>
      <c r="E471" s="30" t="s">
        <v>253</v>
      </c>
      <c r="F471" s="30">
        <v>2008</v>
      </c>
      <c r="G471" s="30" t="s">
        <v>254</v>
      </c>
      <c r="H471" s="14" t="s">
        <v>255</v>
      </c>
      <c r="I471" s="58">
        <v>43627</v>
      </c>
    </row>
    <row r="472" spans="1:9" ht="63.75">
      <c r="A472" s="32" t="s">
        <v>24</v>
      </c>
      <c r="B472" s="30" t="s">
        <v>251</v>
      </c>
      <c r="C472" s="30" t="s">
        <v>252</v>
      </c>
      <c r="D472" s="30">
        <v>19833771</v>
      </c>
      <c r="E472" s="30" t="s">
        <v>253</v>
      </c>
      <c r="F472" s="30">
        <v>2008</v>
      </c>
      <c r="G472" s="30" t="s">
        <v>254</v>
      </c>
      <c r="H472" s="14" t="s">
        <v>255</v>
      </c>
      <c r="I472" s="58">
        <v>43627</v>
      </c>
    </row>
    <row r="473" spans="1:9" ht="63.75">
      <c r="A473" s="32" t="s">
        <v>25</v>
      </c>
      <c r="B473" s="30" t="s">
        <v>251</v>
      </c>
      <c r="C473" s="30" t="s">
        <v>252</v>
      </c>
      <c r="D473" s="30">
        <v>19955129</v>
      </c>
      <c r="E473" s="30" t="s">
        <v>253</v>
      </c>
      <c r="F473" s="30">
        <v>2008</v>
      </c>
      <c r="G473" s="30" t="s">
        <v>254</v>
      </c>
      <c r="H473" s="14" t="s">
        <v>255</v>
      </c>
      <c r="I473" s="58">
        <v>43627</v>
      </c>
    </row>
    <row r="474" spans="1:9" ht="63.75">
      <c r="A474" s="32" t="s">
        <v>26</v>
      </c>
      <c r="B474" s="30" t="s">
        <v>251</v>
      </c>
      <c r="C474" s="30" t="s">
        <v>252</v>
      </c>
      <c r="D474" s="30">
        <v>19833772</v>
      </c>
      <c r="E474" s="30" t="s">
        <v>253</v>
      </c>
      <c r="F474" s="30">
        <v>2008</v>
      </c>
      <c r="G474" s="30" t="s">
        <v>254</v>
      </c>
      <c r="H474" s="14" t="s">
        <v>255</v>
      </c>
      <c r="I474" s="58">
        <v>43627</v>
      </c>
    </row>
    <row r="475" spans="1:9" ht="63.75">
      <c r="A475" s="32" t="s">
        <v>27</v>
      </c>
      <c r="B475" s="30" t="s">
        <v>251</v>
      </c>
      <c r="C475" s="30" t="s">
        <v>252</v>
      </c>
      <c r="D475" s="30">
        <v>19955140</v>
      </c>
      <c r="E475" s="30" t="s">
        <v>253</v>
      </c>
      <c r="F475" s="30">
        <v>2008</v>
      </c>
      <c r="G475" s="30" t="s">
        <v>254</v>
      </c>
      <c r="H475" s="14" t="s">
        <v>255</v>
      </c>
      <c r="I475" s="58">
        <v>43627</v>
      </c>
    </row>
    <row r="476" spans="1:9" ht="63.75">
      <c r="A476" s="32" t="s">
        <v>28</v>
      </c>
      <c r="B476" s="30" t="s">
        <v>251</v>
      </c>
      <c r="C476" s="30" t="s">
        <v>252</v>
      </c>
      <c r="D476" s="30">
        <v>19833769</v>
      </c>
      <c r="E476" s="30" t="s">
        <v>253</v>
      </c>
      <c r="F476" s="30">
        <v>2008</v>
      </c>
      <c r="G476" s="30" t="s">
        <v>254</v>
      </c>
      <c r="H476" s="14" t="s">
        <v>255</v>
      </c>
      <c r="I476" s="58">
        <v>43627</v>
      </c>
    </row>
    <row r="477" spans="1:9" ht="63.75">
      <c r="A477" s="32" t="s">
        <v>29</v>
      </c>
      <c r="B477" s="30" t="s">
        <v>251</v>
      </c>
      <c r="C477" s="30" t="s">
        <v>252</v>
      </c>
      <c r="D477" s="30">
        <v>19833775</v>
      </c>
      <c r="E477" s="30" t="s">
        <v>253</v>
      </c>
      <c r="F477" s="30">
        <v>2008</v>
      </c>
      <c r="G477" s="30" t="s">
        <v>254</v>
      </c>
      <c r="H477" s="14" t="s">
        <v>255</v>
      </c>
      <c r="I477" s="58">
        <v>43627</v>
      </c>
    </row>
    <row r="478" spans="1:9" ht="63.75">
      <c r="A478" s="32" t="s">
        <v>30</v>
      </c>
      <c r="B478" s="30" t="s">
        <v>251</v>
      </c>
      <c r="C478" s="30" t="s">
        <v>252</v>
      </c>
      <c r="D478" s="30">
        <v>19955133</v>
      </c>
      <c r="E478" s="30" t="s">
        <v>253</v>
      </c>
      <c r="F478" s="30">
        <v>2008</v>
      </c>
      <c r="G478" s="30" t="s">
        <v>254</v>
      </c>
      <c r="H478" s="14" t="s">
        <v>255</v>
      </c>
      <c r="I478" s="58">
        <v>43627</v>
      </c>
    </row>
    <row r="479" spans="1:9" ht="63.75">
      <c r="A479" s="32" t="s">
        <v>31</v>
      </c>
      <c r="B479" s="30" t="s">
        <v>251</v>
      </c>
      <c r="C479" s="30" t="s">
        <v>252</v>
      </c>
      <c r="D479" s="30">
        <v>19833768</v>
      </c>
      <c r="E479" s="30" t="s">
        <v>260</v>
      </c>
      <c r="F479" s="30">
        <v>2008</v>
      </c>
      <c r="G479" s="30" t="s">
        <v>254</v>
      </c>
      <c r="H479" s="14" t="s">
        <v>255</v>
      </c>
      <c r="I479" s="58">
        <v>43627</v>
      </c>
    </row>
    <row r="480" spans="1:9" ht="63.75">
      <c r="A480" s="32" t="s">
        <v>32</v>
      </c>
      <c r="B480" s="30" t="s">
        <v>251</v>
      </c>
      <c r="C480" s="30" t="s">
        <v>252</v>
      </c>
      <c r="D480" s="30">
        <v>19955131</v>
      </c>
      <c r="E480" s="30" t="s">
        <v>253</v>
      </c>
      <c r="F480" s="30">
        <v>2008</v>
      </c>
      <c r="G480" s="30" t="s">
        <v>254</v>
      </c>
      <c r="H480" s="14" t="s">
        <v>255</v>
      </c>
      <c r="I480" s="58">
        <v>43627</v>
      </c>
    </row>
    <row r="481" spans="1:9" ht="63.75">
      <c r="A481" s="32" t="s">
        <v>33</v>
      </c>
      <c r="B481" s="30" t="s">
        <v>251</v>
      </c>
      <c r="C481" s="30" t="s">
        <v>252</v>
      </c>
      <c r="D481" s="30">
        <v>19955141</v>
      </c>
      <c r="E481" s="30" t="s">
        <v>253</v>
      </c>
      <c r="F481" s="30">
        <v>2008</v>
      </c>
      <c r="G481" s="30" t="s">
        <v>254</v>
      </c>
      <c r="H481" s="14" t="s">
        <v>255</v>
      </c>
      <c r="I481" s="58">
        <v>43627</v>
      </c>
    </row>
    <row r="482" spans="1:9" ht="63.75">
      <c r="A482" s="32" t="s">
        <v>34</v>
      </c>
      <c r="B482" s="30" t="s">
        <v>251</v>
      </c>
      <c r="C482" s="30" t="s">
        <v>252</v>
      </c>
      <c r="D482" s="30">
        <v>19955128</v>
      </c>
      <c r="E482" s="30" t="s">
        <v>253</v>
      </c>
      <c r="F482" s="30">
        <v>2008</v>
      </c>
      <c r="G482" s="30" t="s">
        <v>254</v>
      </c>
      <c r="H482" s="14" t="s">
        <v>255</v>
      </c>
      <c r="I482" s="58">
        <v>43627</v>
      </c>
    </row>
    <row r="483" spans="1:9" ht="63.75">
      <c r="A483" s="32" t="s">
        <v>35</v>
      </c>
      <c r="B483" s="30" t="s">
        <v>251</v>
      </c>
      <c r="C483" s="30" t="s">
        <v>252</v>
      </c>
      <c r="D483" s="30">
        <v>19833780</v>
      </c>
      <c r="E483" s="30" t="s">
        <v>263</v>
      </c>
      <c r="F483" s="30">
        <v>2008</v>
      </c>
      <c r="G483" s="30" t="s">
        <v>254</v>
      </c>
      <c r="H483" s="14" t="s">
        <v>255</v>
      </c>
      <c r="I483" s="58">
        <v>43627</v>
      </c>
    </row>
    <row r="484" spans="1:9" ht="63.75">
      <c r="A484" s="32" t="s">
        <v>36</v>
      </c>
      <c r="B484" s="30" t="s">
        <v>251</v>
      </c>
      <c r="C484" s="30" t="s">
        <v>252</v>
      </c>
      <c r="D484" s="30">
        <v>19833779</v>
      </c>
      <c r="E484" s="30" t="s">
        <v>260</v>
      </c>
      <c r="F484" s="30">
        <v>2008</v>
      </c>
      <c r="G484" s="30" t="s">
        <v>254</v>
      </c>
      <c r="H484" s="14" t="s">
        <v>255</v>
      </c>
      <c r="I484" s="58">
        <v>43627</v>
      </c>
    </row>
    <row r="485" spans="1:9" ht="63.75">
      <c r="A485" s="32" t="s">
        <v>37</v>
      </c>
      <c r="B485" s="30" t="s">
        <v>251</v>
      </c>
      <c r="C485" s="30" t="s">
        <v>252</v>
      </c>
      <c r="D485" s="30">
        <v>19955142</v>
      </c>
      <c r="E485" s="30" t="s">
        <v>264</v>
      </c>
      <c r="F485" s="30">
        <v>2008</v>
      </c>
      <c r="G485" s="30" t="s">
        <v>254</v>
      </c>
      <c r="H485" s="14" t="s">
        <v>255</v>
      </c>
      <c r="I485" s="58">
        <v>43627</v>
      </c>
    </row>
    <row r="486" spans="1:9" ht="63.75">
      <c r="A486" s="32" t="s">
        <v>38</v>
      </c>
      <c r="B486" s="30" t="s">
        <v>251</v>
      </c>
      <c r="C486" s="30" t="s">
        <v>252</v>
      </c>
      <c r="D486" s="30">
        <v>19833774</v>
      </c>
      <c r="E486" s="30" t="s">
        <v>260</v>
      </c>
      <c r="F486" s="30">
        <v>2008</v>
      </c>
      <c r="G486" s="30" t="s">
        <v>254</v>
      </c>
      <c r="H486" s="14" t="s">
        <v>255</v>
      </c>
      <c r="I486" s="58">
        <v>43627</v>
      </c>
    </row>
    <row r="487" spans="1:9" ht="63.75">
      <c r="A487" s="32" t="s">
        <v>39</v>
      </c>
      <c r="B487" s="30" t="s">
        <v>251</v>
      </c>
      <c r="C487" s="30" t="s">
        <v>252</v>
      </c>
      <c r="D487" s="30">
        <v>19955138</v>
      </c>
      <c r="E487" s="30" t="s">
        <v>253</v>
      </c>
      <c r="F487" s="30">
        <v>2008</v>
      </c>
      <c r="G487" s="30" t="s">
        <v>254</v>
      </c>
      <c r="H487" s="14" t="s">
        <v>255</v>
      </c>
      <c r="I487" s="58">
        <v>43627</v>
      </c>
    </row>
    <row r="488" spans="1:9" ht="63.75">
      <c r="A488" s="32" t="s">
        <v>40</v>
      </c>
      <c r="B488" s="30" t="s">
        <v>251</v>
      </c>
      <c r="C488" s="30" t="s">
        <v>252</v>
      </c>
      <c r="D488" s="30">
        <v>19955147</v>
      </c>
      <c r="E488" s="30" t="s">
        <v>253</v>
      </c>
      <c r="F488" s="30">
        <v>2008</v>
      </c>
      <c r="G488" s="30" t="s">
        <v>254</v>
      </c>
      <c r="H488" s="14" t="s">
        <v>255</v>
      </c>
      <c r="I488" s="58">
        <v>43627</v>
      </c>
    </row>
    <row r="489" spans="1:9" ht="63.75">
      <c r="A489" s="32" t="s">
        <v>41</v>
      </c>
      <c r="B489" s="30" t="s">
        <v>251</v>
      </c>
      <c r="C489" s="30" t="s">
        <v>252</v>
      </c>
      <c r="D489" s="30">
        <v>19955135</v>
      </c>
      <c r="E489" s="30" t="s">
        <v>253</v>
      </c>
      <c r="F489" s="30">
        <v>2008</v>
      </c>
      <c r="G489" s="30" t="s">
        <v>254</v>
      </c>
      <c r="H489" s="14" t="s">
        <v>255</v>
      </c>
      <c r="I489" s="58">
        <v>43627</v>
      </c>
    </row>
    <row r="491" spans="1:9" ht="15">
      <c r="A491" s="3"/>
      <c r="B491" s="67" t="s">
        <v>114</v>
      </c>
      <c r="C491" s="67"/>
      <c r="D491" s="3"/>
      <c r="E491" s="3"/>
      <c r="F491" s="3"/>
      <c r="G491" s="67" t="s">
        <v>115</v>
      </c>
      <c r="H491" s="67"/>
      <c r="I491" s="67"/>
    </row>
    <row r="496" spans="1:9" ht="15">
      <c r="A496" s="66" t="s">
        <v>290</v>
      </c>
      <c r="B496" s="66"/>
      <c r="C496" s="66"/>
      <c r="D496" s="66"/>
      <c r="E496" s="66"/>
      <c r="F496" s="66"/>
      <c r="G496" s="66"/>
      <c r="H496" s="66"/>
      <c r="I496" s="66"/>
    </row>
    <row r="498" spans="1:9" ht="15">
      <c r="A498" s="68" t="s">
        <v>1</v>
      </c>
      <c r="B498" s="69" t="s">
        <v>235</v>
      </c>
      <c r="C498" s="70" t="s">
        <v>236</v>
      </c>
      <c r="D498" s="69" t="s">
        <v>241</v>
      </c>
      <c r="E498" s="69" t="s">
        <v>242</v>
      </c>
      <c r="F498" s="71" t="s">
        <v>116</v>
      </c>
      <c r="G498" s="71" t="s">
        <v>249</v>
      </c>
      <c r="H498" s="71" t="s">
        <v>250</v>
      </c>
      <c r="I498" s="69" t="s">
        <v>244</v>
      </c>
    </row>
    <row r="499" spans="1:9" ht="39.75" customHeight="1">
      <c r="A499" s="68"/>
      <c r="B499" s="69"/>
      <c r="C499" s="70"/>
      <c r="D499" s="69"/>
      <c r="E499" s="69"/>
      <c r="F499" s="72"/>
      <c r="G499" s="72"/>
      <c r="H499" s="72"/>
      <c r="I499" s="69"/>
    </row>
    <row r="500" spans="1:9" ht="51">
      <c r="A500" s="32" t="s">
        <v>2</v>
      </c>
      <c r="B500" s="30" t="s">
        <v>266</v>
      </c>
      <c r="C500" s="30" t="s">
        <v>267</v>
      </c>
      <c r="D500" s="30" t="s">
        <v>268</v>
      </c>
      <c r="E500" s="30" t="s">
        <v>269</v>
      </c>
      <c r="F500" s="30">
        <v>1999</v>
      </c>
      <c r="G500" s="30" t="s">
        <v>270</v>
      </c>
      <c r="H500" s="14" t="s">
        <v>255</v>
      </c>
      <c r="I500" s="2" t="s">
        <v>286</v>
      </c>
    </row>
    <row r="502" spans="1:9" ht="15">
      <c r="A502" s="3"/>
      <c r="B502" s="67" t="s">
        <v>114</v>
      </c>
      <c r="C502" s="67"/>
      <c r="D502" s="3"/>
      <c r="E502" s="3"/>
      <c r="F502" s="3"/>
      <c r="G502" s="67" t="s">
        <v>115</v>
      </c>
      <c r="H502" s="67"/>
      <c r="I502" s="67"/>
    </row>
    <row r="507" spans="1:9" ht="15">
      <c r="A507" s="66" t="s">
        <v>271</v>
      </c>
      <c r="B507" s="66"/>
      <c r="C507" s="66"/>
      <c r="D507" s="66"/>
      <c r="E507" s="66"/>
      <c r="F507" s="66"/>
      <c r="G507" s="66"/>
      <c r="H507" s="66"/>
      <c r="I507" s="66"/>
    </row>
    <row r="509" spans="1:9" ht="54" customHeight="1">
      <c r="A509" s="33" t="s">
        <v>1</v>
      </c>
      <c r="B509" s="2" t="str">
        <f>"Nazwa urządzenia"</f>
        <v>Nazwa urządzenia</v>
      </c>
      <c r="C509" s="2" t="str">
        <f>"Typ"</f>
        <v>Typ</v>
      </c>
      <c r="D509" s="2" t="str">
        <f>"Nr Seryjny"</f>
        <v>Nr Seryjny</v>
      </c>
      <c r="E509" s="2" t="str">
        <f>"Jednostka Organizacyjna"</f>
        <v>Jednostka Organizacyjna</v>
      </c>
      <c r="F509" s="2" t="str">
        <f>"Rok Produkcji"</f>
        <v>Rok Produkcji</v>
      </c>
      <c r="G509" s="2" t="str">
        <f>"Producent"</f>
        <v>Producent</v>
      </c>
      <c r="H509" s="2" t="str">
        <f>"Częst. przeglądu"</f>
        <v>Częst. przeglądu</v>
      </c>
      <c r="I509" s="2" t="s">
        <v>117</v>
      </c>
    </row>
    <row r="510" spans="1:9" ht="51">
      <c r="A510" s="35" t="s">
        <v>2</v>
      </c>
      <c r="B510" s="2" t="str">
        <f>"Lampa "</f>
        <v>Lampa </v>
      </c>
      <c r="C510" s="2" t="str">
        <f>"Sollux LS-3"</f>
        <v>Sollux LS-3</v>
      </c>
      <c r="D510" s="2" t="str">
        <f>"619/2009"</f>
        <v>619/2009</v>
      </c>
      <c r="E510" s="2" t="str">
        <f aca="true" t="shared" si="37" ref="E510:E515">"Uniwersyteckie Centrum Rehabilitacji"</f>
        <v>Uniwersyteckie Centrum Rehabilitacji</v>
      </c>
      <c r="F510" s="2">
        <v>2009</v>
      </c>
      <c r="G510" s="2" t="str">
        <f aca="true" t="shared" si="38" ref="G510:G515">"BTL (UK)"</f>
        <v>BTL (UK)</v>
      </c>
      <c r="H510" s="2" t="str">
        <f aca="true" t="shared" si="39" ref="H510:H515">"12 mies."</f>
        <v>12 mies.</v>
      </c>
      <c r="I510" s="2" t="s">
        <v>286</v>
      </c>
    </row>
    <row r="511" spans="1:9" ht="51">
      <c r="A511" s="35" t="s">
        <v>3</v>
      </c>
      <c r="B511" s="2" t="str">
        <f>"Lampa "</f>
        <v>Lampa </v>
      </c>
      <c r="C511" s="2" t="str">
        <f>"Sollux LS-3"</f>
        <v>Sollux LS-3</v>
      </c>
      <c r="D511" s="2" t="str">
        <f>"622/2009"</f>
        <v>622/2009</v>
      </c>
      <c r="E511" s="2" t="str">
        <f t="shared" si="37"/>
        <v>Uniwersyteckie Centrum Rehabilitacji</v>
      </c>
      <c r="F511" s="2">
        <v>2009</v>
      </c>
      <c r="G511" s="2" t="str">
        <f t="shared" si="38"/>
        <v>BTL (UK)</v>
      </c>
      <c r="H511" s="2" t="str">
        <f t="shared" si="39"/>
        <v>12 mies.</v>
      </c>
      <c r="I511" s="2" t="s">
        <v>286</v>
      </c>
    </row>
    <row r="512" spans="1:9" ht="51">
      <c r="A512" s="35" t="s">
        <v>4</v>
      </c>
      <c r="B512" s="2" t="str">
        <f>"Lampa "</f>
        <v>Lampa </v>
      </c>
      <c r="C512" s="2" t="str">
        <f>"Sollux Lumina"</f>
        <v>Sollux Lumina</v>
      </c>
      <c r="D512" s="2" t="str">
        <f>"SL29/04/09"</f>
        <v>SL29/04/09</v>
      </c>
      <c r="E512" s="2" t="str">
        <f t="shared" si="37"/>
        <v>Uniwersyteckie Centrum Rehabilitacji</v>
      </c>
      <c r="F512" s="2">
        <v>2009</v>
      </c>
      <c r="G512" s="2" t="str">
        <f t="shared" si="38"/>
        <v>BTL (UK)</v>
      </c>
      <c r="H512" s="2" t="str">
        <f t="shared" si="39"/>
        <v>12 mies.</v>
      </c>
      <c r="I512" s="2" t="s">
        <v>286</v>
      </c>
    </row>
    <row r="513" spans="1:9" ht="51">
      <c r="A513" s="35" t="s">
        <v>5</v>
      </c>
      <c r="B513" s="2" t="str">
        <f>"Lampa "</f>
        <v>Lampa </v>
      </c>
      <c r="C513" s="2" t="str">
        <f>"Sollux Lumina"</f>
        <v>Sollux Lumina</v>
      </c>
      <c r="D513" s="2" t="str">
        <f>"SL30/04/09"</f>
        <v>SL30/04/09</v>
      </c>
      <c r="E513" s="2" t="str">
        <f t="shared" si="37"/>
        <v>Uniwersyteckie Centrum Rehabilitacji</v>
      </c>
      <c r="F513" s="2">
        <v>2009</v>
      </c>
      <c r="G513" s="2" t="str">
        <f t="shared" si="38"/>
        <v>BTL (UK)</v>
      </c>
      <c r="H513" s="2" t="str">
        <f t="shared" si="39"/>
        <v>12 mies.</v>
      </c>
      <c r="I513" s="2" t="s">
        <v>286</v>
      </c>
    </row>
    <row r="514" spans="1:9" ht="51">
      <c r="A514" s="35" t="s">
        <v>6</v>
      </c>
      <c r="B514" s="2" t="str">
        <f>"Lampa do terapii światłem spolaryzowanym"</f>
        <v>Lampa do terapii światłem spolaryzowanym</v>
      </c>
      <c r="C514" s="2" t="str">
        <f>"zepter"</f>
        <v>zepter</v>
      </c>
      <c r="D514" s="2" t="str">
        <f>"001-0907-2113"</f>
        <v>001-0907-2113</v>
      </c>
      <c r="E514" s="2" t="str">
        <f t="shared" si="37"/>
        <v>Uniwersyteckie Centrum Rehabilitacji</v>
      </c>
      <c r="F514" s="2">
        <v>2009</v>
      </c>
      <c r="G514" s="2" t="str">
        <f t="shared" si="38"/>
        <v>BTL (UK)</v>
      </c>
      <c r="H514" s="2" t="str">
        <f t="shared" si="39"/>
        <v>12 mies.</v>
      </c>
      <c r="I514" s="2" t="s">
        <v>286</v>
      </c>
    </row>
    <row r="515" spans="1:9" ht="51">
      <c r="A515" s="35" t="s">
        <v>7</v>
      </c>
      <c r="B515" s="2" t="str">
        <f>"Lampa do terapii światłem spolaryzowanym"</f>
        <v>Lampa do terapii światłem spolaryzowanym</v>
      </c>
      <c r="C515" s="2" t="str">
        <f>"zepter"</f>
        <v>zepter</v>
      </c>
      <c r="D515" s="2" t="str">
        <f>"001-0907-2108"</f>
        <v>001-0907-2108</v>
      </c>
      <c r="E515" s="2" t="str">
        <f t="shared" si="37"/>
        <v>Uniwersyteckie Centrum Rehabilitacji</v>
      </c>
      <c r="F515" s="2">
        <v>2009</v>
      </c>
      <c r="G515" s="2" t="str">
        <f t="shared" si="38"/>
        <v>BTL (UK)</v>
      </c>
      <c r="H515" s="2" t="str">
        <f t="shared" si="39"/>
        <v>12 mies.</v>
      </c>
      <c r="I515" s="2" t="s">
        <v>286</v>
      </c>
    </row>
    <row r="517" spans="1:9" ht="15">
      <c r="A517" s="3"/>
      <c r="B517" s="67" t="s">
        <v>114</v>
      </c>
      <c r="C517" s="67"/>
      <c r="D517" s="3"/>
      <c r="E517" s="3"/>
      <c r="F517" s="3"/>
      <c r="G517" s="67" t="s">
        <v>115</v>
      </c>
      <c r="H517" s="67"/>
      <c r="I517" s="67"/>
    </row>
    <row r="522" spans="1:9" ht="15">
      <c r="A522" s="66" t="s">
        <v>272</v>
      </c>
      <c r="B522" s="66"/>
      <c r="C522" s="66"/>
      <c r="D522" s="66"/>
      <c r="E522" s="66"/>
      <c r="F522" s="66"/>
      <c r="G522" s="66"/>
      <c r="H522" s="66"/>
      <c r="I522" s="66"/>
    </row>
    <row r="524" spans="1:9" ht="51">
      <c r="A524" s="33" t="s">
        <v>1</v>
      </c>
      <c r="B524" s="2" t="str">
        <f>"Nazwa urządzenia"</f>
        <v>Nazwa urządzenia</v>
      </c>
      <c r="C524" s="2" t="str">
        <f>"Typ"</f>
        <v>Typ</v>
      </c>
      <c r="D524" s="2" t="str">
        <f>"Nr Seryjny"</f>
        <v>Nr Seryjny</v>
      </c>
      <c r="E524" s="2" t="str">
        <f>"Jednostka Organizacyjna"</f>
        <v>Jednostka Organizacyjna</v>
      </c>
      <c r="F524" s="2" t="str">
        <f>"Rok Produkcji"</f>
        <v>Rok Produkcji</v>
      </c>
      <c r="G524" s="2" t="str">
        <f>"Producent"</f>
        <v>Producent</v>
      </c>
      <c r="H524" s="2" t="str">
        <f>"Częst. przeglądu"</f>
        <v>Częst. przeglądu</v>
      </c>
      <c r="I524" s="2" t="s">
        <v>117</v>
      </c>
    </row>
    <row r="525" spans="1:9" ht="51">
      <c r="A525" s="34" t="s">
        <v>2</v>
      </c>
      <c r="B525" s="2" t="str">
        <f aca="true" t="shared" si="40" ref="B525:B532">"Lampa zabiegowa 3-ogniskowa  statywowa"</f>
        <v>Lampa zabiegowa 3-ogniskowa  statywowa</v>
      </c>
      <c r="C525" s="2" t="str">
        <f aca="true" t="shared" si="41" ref="C525:C532">"Fam-Lux LO-03.3"</f>
        <v>Fam-Lux LO-03.3</v>
      </c>
      <c r="D525" s="2" t="str">
        <f>"1206/00037 "</f>
        <v>1206/00037 </v>
      </c>
      <c r="E525" s="2" t="str">
        <f>"Oddz. Klin. Anestezjologii i Inten.Terapii"</f>
        <v>Oddz. Klin. Anestezjologii i Inten.Terapii</v>
      </c>
      <c r="F525" s="2">
        <v>2006</v>
      </c>
      <c r="G525" s="2" t="str">
        <f aca="true" t="shared" si="42" ref="G525:G560">"FAMED ŻYWIEC Sp. z o.o."</f>
        <v>FAMED ŻYWIEC Sp. z o.o.</v>
      </c>
      <c r="H525" s="2" t="str">
        <f aca="true" t="shared" si="43" ref="H525:H531">"12 mies."</f>
        <v>12 mies.</v>
      </c>
      <c r="I525" s="2" t="s">
        <v>286</v>
      </c>
    </row>
    <row r="526" spans="1:9" ht="51">
      <c r="A526" s="34" t="s">
        <v>3</v>
      </c>
      <c r="B526" s="2" t="str">
        <f t="shared" si="40"/>
        <v>Lampa zabiegowa 3-ogniskowa  statywowa</v>
      </c>
      <c r="C526" s="2" t="str">
        <f t="shared" si="41"/>
        <v>Fam-Lux LO-03.3</v>
      </c>
      <c r="D526" s="2" t="str">
        <f>"1206/00032 "</f>
        <v>1206/00032 </v>
      </c>
      <c r="E526" s="2" t="str">
        <f>"Oddz. Klin. Angiologii, Nad.Tętn, Diabet."</f>
        <v>Oddz. Klin. Angiologii, Nad.Tętn, Diabet.</v>
      </c>
      <c r="F526" s="2">
        <v>2006</v>
      </c>
      <c r="G526" s="2" t="str">
        <f t="shared" si="42"/>
        <v>FAMED ŻYWIEC Sp. z o.o.</v>
      </c>
      <c r="H526" s="2" t="str">
        <f t="shared" si="43"/>
        <v>12 mies.</v>
      </c>
      <c r="I526" s="2" t="s">
        <v>286</v>
      </c>
    </row>
    <row r="527" spans="1:9" ht="51">
      <c r="A527" s="34" t="s">
        <v>4</v>
      </c>
      <c r="B527" s="2" t="str">
        <f t="shared" si="40"/>
        <v>Lampa zabiegowa 3-ogniskowa  statywowa</v>
      </c>
      <c r="C527" s="2" t="str">
        <f t="shared" si="41"/>
        <v>Fam-Lux LO-03.3</v>
      </c>
      <c r="D527" s="2" t="str">
        <f>"1206/00030 "</f>
        <v>1206/00030 </v>
      </c>
      <c r="E527" s="2" t="str">
        <f>"Oddz. Klin. Chir.Naczyniowej, Chir.Ogólnej"</f>
        <v>Oddz. Klin. Chir.Naczyniowej, Chir.Ogólnej</v>
      </c>
      <c r="F527" s="2">
        <v>2006</v>
      </c>
      <c r="G527" s="2" t="str">
        <f t="shared" si="42"/>
        <v>FAMED ŻYWIEC Sp. z o.o.</v>
      </c>
      <c r="H527" s="2" t="str">
        <f t="shared" si="43"/>
        <v>12 mies.</v>
      </c>
      <c r="I527" s="2" t="s">
        <v>286</v>
      </c>
    </row>
    <row r="528" spans="1:9" ht="51">
      <c r="A528" s="34" t="s">
        <v>5</v>
      </c>
      <c r="B528" s="2" t="str">
        <f t="shared" si="40"/>
        <v>Lampa zabiegowa 3-ogniskowa  statywowa</v>
      </c>
      <c r="C528" s="2" t="str">
        <f t="shared" si="41"/>
        <v>Fam-Lux LO-03.3</v>
      </c>
      <c r="D528" s="2" t="str">
        <f>"0208/00318"</f>
        <v>0208/00318</v>
      </c>
      <c r="E528" s="2" t="str">
        <f>"Oddz. Klin. Chirurgii Szczękowo-Twarzowej"</f>
        <v>Oddz. Klin. Chirurgii Szczękowo-Twarzowej</v>
      </c>
      <c r="F528" s="2">
        <v>2008</v>
      </c>
      <c r="G528" s="2" t="str">
        <f t="shared" si="42"/>
        <v>FAMED ŻYWIEC Sp. z o.o.</v>
      </c>
      <c r="H528" s="2" t="str">
        <f t="shared" si="43"/>
        <v>12 mies.</v>
      </c>
      <c r="I528" s="2" t="s">
        <v>286</v>
      </c>
    </row>
    <row r="529" spans="1:9" ht="51">
      <c r="A529" s="34" t="s">
        <v>6</v>
      </c>
      <c r="B529" s="2" t="str">
        <f t="shared" si="40"/>
        <v>Lampa zabiegowa 3-ogniskowa  statywowa</v>
      </c>
      <c r="C529" s="2" t="str">
        <f t="shared" si="41"/>
        <v>Fam-Lux LO-03.3</v>
      </c>
      <c r="D529" s="2" t="str">
        <f>"1206/00036"</f>
        <v>1206/00036</v>
      </c>
      <c r="E529" s="2" t="str">
        <f>"Oddz. Klin. Neurochirurgiczny z P-oddz.IOM"</f>
        <v>Oddz. Klin. Neurochirurgiczny z P-oddz.IOM</v>
      </c>
      <c r="F529" s="2"/>
      <c r="G529" s="2" t="str">
        <f t="shared" si="42"/>
        <v>FAMED ŻYWIEC Sp. z o.o.</v>
      </c>
      <c r="H529" s="2" t="str">
        <f t="shared" si="43"/>
        <v>12 mies.</v>
      </c>
      <c r="I529" s="2" t="s">
        <v>286</v>
      </c>
    </row>
    <row r="530" spans="1:9" ht="51">
      <c r="A530" s="34" t="s">
        <v>7</v>
      </c>
      <c r="B530" s="2" t="str">
        <f t="shared" si="40"/>
        <v>Lampa zabiegowa 3-ogniskowa  statywowa</v>
      </c>
      <c r="C530" s="2" t="str">
        <f t="shared" si="41"/>
        <v>Fam-Lux LO-03.3</v>
      </c>
      <c r="D530" s="2" t="str">
        <f>"1206/00033 "</f>
        <v>1206/00033 </v>
      </c>
      <c r="E530" s="2" t="str">
        <f>"Oddz. Klin. Urologiczny"</f>
        <v>Oddz. Klin. Urologiczny</v>
      </c>
      <c r="F530" s="2">
        <v>2006</v>
      </c>
      <c r="G530" s="2" t="str">
        <f t="shared" si="42"/>
        <v>FAMED ŻYWIEC Sp. z o.o.</v>
      </c>
      <c r="H530" s="2" t="str">
        <f t="shared" si="43"/>
        <v>12 mies.</v>
      </c>
      <c r="I530" s="2" t="s">
        <v>286</v>
      </c>
    </row>
    <row r="531" spans="1:9" ht="51">
      <c r="A531" s="34" t="s">
        <v>8</v>
      </c>
      <c r="B531" s="2" t="str">
        <f t="shared" si="40"/>
        <v>Lampa zabiegowa 3-ogniskowa  statywowa</v>
      </c>
      <c r="C531" s="2" t="str">
        <f t="shared" si="41"/>
        <v>Fam-Lux LO-03.3</v>
      </c>
      <c r="D531" s="2" t="str">
        <f>"1206/00031 "</f>
        <v>1206/00031 </v>
      </c>
      <c r="E531" s="2" t="str">
        <f>"Oddz. Klin.Chir.Małoinwazyjnej i Proktol."</f>
        <v>Oddz. Klin.Chir.Małoinwazyjnej i Proktol.</v>
      </c>
      <c r="F531" s="2">
        <v>2006</v>
      </c>
      <c r="G531" s="2" t="str">
        <f t="shared" si="42"/>
        <v>FAMED ŻYWIEC Sp. z o.o.</v>
      </c>
      <c r="H531" s="2" t="str">
        <f t="shared" si="43"/>
        <v>12 mies.</v>
      </c>
      <c r="I531" s="2" t="s">
        <v>286</v>
      </c>
    </row>
    <row r="532" spans="1:9" ht="51">
      <c r="A532" s="34" t="s">
        <v>9</v>
      </c>
      <c r="B532" s="2" t="str">
        <f t="shared" si="40"/>
        <v>Lampa zabiegowa 3-ogniskowa  statywowa</v>
      </c>
      <c r="C532" s="2" t="str">
        <f t="shared" si="41"/>
        <v>Fam-Lux LO-03.3</v>
      </c>
      <c r="D532" s="2" t="str">
        <f>"0608/00356 "</f>
        <v>0608/00356 </v>
      </c>
      <c r="E532" s="2" t="str">
        <f>"Szpitalny Oddział Ratunkowy-Klin.Med.Rat"</f>
        <v>Szpitalny Oddział Ratunkowy-Klin.Med.Rat</v>
      </c>
      <c r="F532" s="2">
        <v>2008</v>
      </c>
      <c r="G532" s="2" t="str">
        <f t="shared" si="42"/>
        <v>FAMED ŻYWIEC Sp. z o.o.</v>
      </c>
      <c r="H532" s="2" t="str">
        <f>"24 mies."</f>
        <v>24 mies.</v>
      </c>
      <c r="I532" s="2" t="s">
        <v>286</v>
      </c>
    </row>
    <row r="533" spans="1:9" ht="51">
      <c r="A533" s="34" t="s">
        <v>10</v>
      </c>
      <c r="B533" s="2" t="str">
        <f aca="true" t="shared" si="44" ref="B533:B560">"Lampa zabiegowa na statywie jezdnym"</f>
        <v>Lampa zabiegowa na statywie jezdnym</v>
      </c>
      <c r="C533" s="2" t="str">
        <f aca="true" t="shared" si="45" ref="C533:C560">"Scan-LUX LB-01.3"</f>
        <v>Scan-LUX LB-01.3</v>
      </c>
      <c r="D533" s="2" t="str">
        <f>"0507/00163"</f>
        <v>0507/00163</v>
      </c>
      <c r="E533" s="2" t="str">
        <f>"Dział Anestezjologii"</f>
        <v>Dział Anestezjologii</v>
      </c>
      <c r="F533" s="2"/>
      <c r="G533" s="2" t="str">
        <f t="shared" si="42"/>
        <v>FAMED ŻYWIEC Sp. z o.o.</v>
      </c>
      <c r="H533" s="2" t="str">
        <f aca="true" t="shared" si="46" ref="H533:H560">"12 mies."</f>
        <v>12 mies.</v>
      </c>
      <c r="I533" s="2" t="s">
        <v>286</v>
      </c>
    </row>
    <row r="534" spans="1:9" ht="51">
      <c r="A534" s="34" t="s">
        <v>11</v>
      </c>
      <c r="B534" s="2" t="str">
        <f t="shared" si="44"/>
        <v>Lampa zabiegowa na statywie jezdnym</v>
      </c>
      <c r="C534" s="2" t="str">
        <f t="shared" si="45"/>
        <v>Scan-LUX LB-01.3</v>
      </c>
      <c r="D534" s="2" t="str">
        <f>"0607/00170 "</f>
        <v>0607/00170 </v>
      </c>
      <c r="E534" s="2" t="str">
        <f>"Endoskopowa Pracownia Diagnostyczna KLU"</f>
        <v>Endoskopowa Pracownia Diagnostyczna KLU</v>
      </c>
      <c r="F534" s="2">
        <v>2007</v>
      </c>
      <c r="G534" s="2" t="str">
        <f t="shared" si="42"/>
        <v>FAMED ŻYWIEC Sp. z o.o.</v>
      </c>
      <c r="H534" s="2" t="str">
        <f t="shared" si="46"/>
        <v>12 mies.</v>
      </c>
      <c r="I534" s="2" t="s">
        <v>286</v>
      </c>
    </row>
    <row r="535" spans="1:9" ht="51">
      <c r="A535" s="34" t="s">
        <v>12</v>
      </c>
      <c r="B535" s="2" t="str">
        <f t="shared" si="44"/>
        <v>Lampa zabiegowa na statywie jezdnym</v>
      </c>
      <c r="C535" s="2" t="str">
        <f t="shared" si="45"/>
        <v>Scan-LUX LB-01.3</v>
      </c>
      <c r="D535" s="2" t="str">
        <f>"0208/00302"</f>
        <v>0208/00302</v>
      </c>
      <c r="E535" s="2" t="s">
        <v>0</v>
      </c>
      <c r="F535" s="2">
        <v>2008</v>
      </c>
      <c r="G535" s="2" t="str">
        <f t="shared" si="42"/>
        <v>FAMED ŻYWIEC Sp. z o.o.</v>
      </c>
      <c r="H535" s="2" t="str">
        <f t="shared" si="46"/>
        <v>12 mies.</v>
      </c>
      <c r="I535" s="2" t="s">
        <v>286</v>
      </c>
    </row>
    <row r="536" spans="1:9" ht="51">
      <c r="A536" s="34" t="s">
        <v>13</v>
      </c>
      <c r="B536" s="2" t="str">
        <f t="shared" si="44"/>
        <v>Lampa zabiegowa na statywie jezdnym</v>
      </c>
      <c r="C536" s="2" t="str">
        <f t="shared" si="45"/>
        <v>Scan-LUX LB-01.3</v>
      </c>
      <c r="D536" s="2" t="str">
        <f>"0208/00301"</f>
        <v>0208/00301</v>
      </c>
      <c r="E536" s="2" t="s">
        <v>0</v>
      </c>
      <c r="F536" s="2">
        <v>2008</v>
      </c>
      <c r="G536" s="2" t="str">
        <f t="shared" si="42"/>
        <v>FAMED ŻYWIEC Sp. z o.o.</v>
      </c>
      <c r="H536" s="2" t="str">
        <f t="shared" si="46"/>
        <v>12 mies.</v>
      </c>
      <c r="I536" s="2" t="s">
        <v>286</v>
      </c>
    </row>
    <row r="537" spans="1:9" ht="51">
      <c r="A537" s="34" t="s">
        <v>14</v>
      </c>
      <c r="B537" s="2" t="str">
        <f t="shared" si="44"/>
        <v>Lampa zabiegowa na statywie jezdnym</v>
      </c>
      <c r="C537" s="2" t="str">
        <f t="shared" si="45"/>
        <v>Scan-LUX LB-01.3</v>
      </c>
      <c r="D537" s="2" t="str">
        <f>"1207/00270 "</f>
        <v>1207/00270 </v>
      </c>
      <c r="E537" s="2" t="s">
        <v>0</v>
      </c>
      <c r="F537" s="2">
        <v>2007</v>
      </c>
      <c r="G537" s="2" t="str">
        <f t="shared" si="42"/>
        <v>FAMED ŻYWIEC Sp. z o.o.</v>
      </c>
      <c r="H537" s="2" t="str">
        <f t="shared" si="46"/>
        <v>12 mies.</v>
      </c>
      <c r="I537" s="2" t="s">
        <v>286</v>
      </c>
    </row>
    <row r="538" spans="1:9" ht="51">
      <c r="A538" s="34" t="s">
        <v>15</v>
      </c>
      <c r="B538" s="2" t="str">
        <f t="shared" si="44"/>
        <v>Lampa zabiegowa na statywie jezdnym</v>
      </c>
      <c r="C538" s="2" t="str">
        <f t="shared" si="45"/>
        <v>Scan-LUX LB-01.3</v>
      </c>
      <c r="D538" s="2" t="str">
        <f>"0208/00300"</f>
        <v>0208/00300</v>
      </c>
      <c r="E538" s="2" t="s">
        <v>0</v>
      </c>
      <c r="F538" s="2">
        <v>2007</v>
      </c>
      <c r="G538" s="2" t="str">
        <f t="shared" si="42"/>
        <v>FAMED ŻYWIEC Sp. z o.o.</v>
      </c>
      <c r="H538" s="2" t="str">
        <f t="shared" si="46"/>
        <v>12 mies.</v>
      </c>
      <c r="I538" s="2" t="s">
        <v>286</v>
      </c>
    </row>
    <row r="539" spans="1:9" ht="51">
      <c r="A539" s="34" t="s">
        <v>16</v>
      </c>
      <c r="B539" s="2" t="str">
        <f t="shared" si="44"/>
        <v>Lampa zabiegowa na statywie jezdnym</v>
      </c>
      <c r="C539" s="2" t="str">
        <f t="shared" si="45"/>
        <v>Scan-LUX LB-01.3</v>
      </c>
      <c r="D539" s="2" t="str">
        <f>"0208/00299"</f>
        <v>0208/00299</v>
      </c>
      <c r="E539" s="2" t="s">
        <v>0</v>
      </c>
      <c r="F539" s="2">
        <v>2007</v>
      </c>
      <c r="G539" s="2" t="str">
        <f t="shared" si="42"/>
        <v>FAMED ŻYWIEC Sp. z o.o.</v>
      </c>
      <c r="H539" s="2" t="str">
        <f t="shared" si="46"/>
        <v>12 mies.</v>
      </c>
      <c r="I539" s="2" t="s">
        <v>286</v>
      </c>
    </row>
    <row r="540" spans="1:9" ht="51">
      <c r="A540" s="34" t="s">
        <v>17</v>
      </c>
      <c r="B540" s="2" t="str">
        <f t="shared" si="44"/>
        <v>Lampa zabiegowa na statywie jezdnym</v>
      </c>
      <c r="C540" s="2" t="str">
        <f t="shared" si="45"/>
        <v>Scan-LUX LB-01.3</v>
      </c>
      <c r="D540" s="2" t="str">
        <f>"1206/00099"</f>
        <v>1206/00099</v>
      </c>
      <c r="E540" s="2" t="str">
        <f>"Oddz. Klin. Chir. Urazowo-Ortopedycznej"</f>
        <v>Oddz. Klin. Chir. Urazowo-Ortopedycznej</v>
      </c>
      <c r="F540" s="2">
        <v>2006</v>
      </c>
      <c r="G540" s="2" t="str">
        <f t="shared" si="42"/>
        <v>FAMED ŻYWIEC Sp. z o.o.</v>
      </c>
      <c r="H540" s="2" t="str">
        <f t="shared" si="46"/>
        <v>12 mies.</v>
      </c>
      <c r="I540" s="2" t="s">
        <v>286</v>
      </c>
    </row>
    <row r="541" spans="1:9" ht="51">
      <c r="A541" s="34" t="s">
        <v>18</v>
      </c>
      <c r="B541" s="2" t="str">
        <f t="shared" si="44"/>
        <v>Lampa zabiegowa na statywie jezdnym</v>
      </c>
      <c r="C541" s="2" t="str">
        <f t="shared" si="45"/>
        <v>Scan-LUX LB-01.3</v>
      </c>
      <c r="D541" s="2" t="str">
        <f>"1106/00096"</f>
        <v>1106/00096</v>
      </c>
      <c r="E541" s="2" t="str">
        <f>"Oddz. Klin. Chir. Urazowo-Ortopedycznej"</f>
        <v>Oddz. Klin. Chir. Urazowo-Ortopedycznej</v>
      </c>
      <c r="F541" s="2">
        <v>2006</v>
      </c>
      <c r="G541" s="2" t="str">
        <f t="shared" si="42"/>
        <v>FAMED ŻYWIEC Sp. z o.o.</v>
      </c>
      <c r="H541" s="2" t="str">
        <f t="shared" si="46"/>
        <v>12 mies.</v>
      </c>
      <c r="I541" s="2" t="s">
        <v>286</v>
      </c>
    </row>
    <row r="542" spans="1:9" ht="51">
      <c r="A542" s="34" t="s">
        <v>19</v>
      </c>
      <c r="B542" s="2" t="str">
        <f t="shared" si="44"/>
        <v>Lampa zabiegowa na statywie jezdnym</v>
      </c>
      <c r="C542" s="2" t="str">
        <f t="shared" si="45"/>
        <v>Scan-LUX LB-01.3</v>
      </c>
      <c r="D542" s="2" t="str">
        <f>"1206/00102"</f>
        <v>1206/00102</v>
      </c>
      <c r="E542" s="2" t="str">
        <f>"Oddz. Klin. Chir. Urazowo-Ortopedycznej"</f>
        <v>Oddz. Klin. Chir. Urazowo-Ortopedycznej</v>
      </c>
      <c r="F542" s="2">
        <v>2006</v>
      </c>
      <c r="G542" s="2" t="str">
        <f t="shared" si="42"/>
        <v>FAMED ŻYWIEC Sp. z o.o.</v>
      </c>
      <c r="H542" s="2" t="str">
        <f t="shared" si="46"/>
        <v>12 mies.</v>
      </c>
      <c r="I542" s="2" t="s">
        <v>286</v>
      </c>
    </row>
    <row r="543" spans="1:9" ht="51">
      <c r="A543" s="34" t="s">
        <v>20</v>
      </c>
      <c r="B543" s="2" t="str">
        <f t="shared" si="44"/>
        <v>Lampa zabiegowa na statywie jezdnym</v>
      </c>
      <c r="C543" s="2" t="str">
        <f t="shared" si="45"/>
        <v>Scan-LUX LB-01.3</v>
      </c>
      <c r="D543" s="2" t="str">
        <f>"1206/00104 "</f>
        <v>1206/00104 </v>
      </c>
      <c r="E543" s="2" t="str">
        <f>"Oddz. Klin. Chir.Naczyniowej, Chir.Ogólnej"</f>
        <v>Oddz. Klin. Chir.Naczyniowej, Chir.Ogólnej</v>
      </c>
      <c r="F543" s="2">
        <v>2006</v>
      </c>
      <c r="G543" s="2" t="str">
        <f t="shared" si="42"/>
        <v>FAMED ŻYWIEC Sp. z o.o.</v>
      </c>
      <c r="H543" s="2" t="str">
        <f t="shared" si="46"/>
        <v>12 mies.</v>
      </c>
      <c r="I543" s="2" t="s">
        <v>286</v>
      </c>
    </row>
    <row r="544" spans="1:9" ht="51">
      <c r="A544" s="34" t="s">
        <v>21</v>
      </c>
      <c r="B544" s="2" t="str">
        <f t="shared" si="44"/>
        <v>Lampa zabiegowa na statywie jezdnym</v>
      </c>
      <c r="C544" s="2" t="str">
        <f t="shared" si="45"/>
        <v>Scan-LUX LB-01.3</v>
      </c>
      <c r="D544" s="2" t="str">
        <f>"1206/00106"</f>
        <v>1206/00106</v>
      </c>
      <c r="E544" s="2" t="str">
        <f>"Oddz. Klin. Chir.Ogólnej, Ch.Onkologicznej"</f>
        <v>Oddz. Klin. Chir.Ogólnej, Ch.Onkologicznej</v>
      </c>
      <c r="F544" s="2">
        <v>2006</v>
      </c>
      <c r="G544" s="2" t="str">
        <f t="shared" si="42"/>
        <v>FAMED ŻYWIEC Sp. z o.o.</v>
      </c>
      <c r="H544" s="2" t="str">
        <f t="shared" si="46"/>
        <v>12 mies.</v>
      </c>
      <c r="I544" s="2" t="s">
        <v>286</v>
      </c>
    </row>
    <row r="545" spans="1:9" ht="51">
      <c r="A545" s="34" t="s">
        <v>22</v>
      </c>
      <c r="B545" s="2" t="str">
        <f t="shared" si="44"/>
        <v>Lampa zabiegowa na statywie jezdnym</v>
      </c>
      <c r="C545" s="2" t="str">
        <f t="shared" si="45"/>
        <v>Scan-LUX LB-01.3</v>
      </c>
      <c r="D545" s="2" t="str">
        <f>"0208/00288"</f>
        <v>0208/00288</v>
      </c>
      <c r="E545" s="2" t="str">
        <f>"Oddz. Klin. Chirurgii Szczękowo-Twarzowej"</f>
        <v>Oddz. Klin. Chirurgii Szczękowo-Twarzowej</v>
      </c>
      <c r="F545" s="2">
        <v>2008</v>
      </c>
      <c r="G545" s="2" t="str">
        <f t="shared" si="42"/>
        <v>FAMED ŻYWIEC Sp. z o.o.</v>
      </c>
      <c r="H545" s="2" t="str">
        <f t="shared" si="46"/>
        <v>12 mies.</v>
      </c>
      <c r="I545" s="2" t="s">
        <v>286</v>
      </c>
    </row>
    <row r="546" spans="1:9" ht="51">
      <c r="A546" s="34" t="s">
        <v>23</v>
      </c>
      <c r="B546" s="2" t="str">
        <f t="shared" si="44"/>
        <v>Lampa zabiegowa na statywie jezdnym</v>
      </c>
      <c r="C546" s="2" t="str">
        <f t="shared" si="45"/>
        <v>Scan-LUX LB-01.3</v>
      </c>
      <c r="D546" s="2" t="str">
        <f>"0208/00296"</f>
        <v>0208/00296</v>
      </c>
      <c r="E546" s="2" t="str">
        <f>"Oddz. Klin. Chirurgii Szczękowo-Twarzowej"</f>
        <v>Oddz. Klin. Chirurgii Szczękowo-Twarzowej</v>
      </c>
      <c r="F546" s="2">
        <v>2008</v>
      </c>
      <c r="G546" s="2" t="str">
        <f t="shared" si="42"/>
        <v>FAMED ŻYWIEC Sp. z o.o.</v>
      </c>
      <c r="H546" s="2" t="str">
        <f t="shared" si="46"/>
        <v>12 mies.</v>
      </c>
      <c r="I546" s="2" t="s">
        <v>286</v>
      </c>
    </row>
    <row r="547" spans="1:9" ht="51">
      <c r="A547" s="34" t="s">
        <v>24</v>
      </c>
      <c r="B547" s="2" t="str">
        <f t="shared" si="44"/>
        <v>Lampa zabiegowa na statywie jezdnym</v>
      </c>
      <c r="C547" s="2" t="str">
        <f t="shared" si="45"/>
        <v>Scan-LUX LB-01.3</v>
      </c>
      <c r="D547" s="2" t="str">
        <f>"0208/00277"</f>
        <v>0208/00277</v>
      </c>
      <c r="E547" s="2" t="str">
        <f>"Oddz. Klin. Chirurgii Szczękowo-Twarzowej"</f>
        <v>Oddz. Klin. Chirurgii Szczękowo-Twarzowej</v>
      </c>
      <c r="F547" s="2">
        <v>2008</v>
      </c>
      <c r="G547" s="2" t="str">
        <f t="shared" si="42"/>
        <v>FAMED ŻYWIEC Sp. z o.o.</v>
      </c>
      <c r="H547" s="2" t="str">
        <f t="shared" si="46"/>
        <v>12 mies.</v>
      </c>
      <c r="I547" s="2" t="s">
        <v>286</v>
      </c>
    </row>
    <row r="548" spans="1:9" ht="51">
      <c r="A548" s="34" t="s">
        <v>25</v>
      </c>
      <c r="B548" s="2" t="str">
        <f t="shared" si="44"/>
        <v>Lampa zabiegowa na statywie jezdnym</v>
      </c>
      <c r="C548" s="2" t="str">
        <f t="shared" si="45"/>
        <v>Scan-LUX LB-01.3</v>
      </c>
      <c r="D548" s="2" t="str">
        <f>"0208/00298"</f>
        <v>0208/00298</v>
      </c>
      <c r="E548" s="2" t="str">
        <f>"Oddz. Klin. Chirurgii Szczękowo-Twarzowej"</f>
        <v>Oddz. Klin. Chirurgii Szczękowo-Twarzowej</v>
      </c>
      <c r="F548" s="2">
        <v>2008</v>
      </c>
      <c r="G548" s="2" t="str">
        <f t="shared" si="42"/>
        <v>FAMED ŻYWIEC Sp. z o.o.</v>
      </c>
      <c r="H548" s="2" t="str">
        <f t="shared" si="46"/>
        <v>12 mies.</v>
      </c>
      <c r="I548" s="2" t="s">
        <v>286</v>
      </c>
    </row>
    <row r="549" spans="1:9" ht="51">
      <c r="A549" s="34" t="s">
        <v>26</v>
      </c>
      <c r="B549" s="2" t="str">
        <f t="shared" si="44"/>
        <v>Lampa zabiegowa na statywie jezdnym</v>
      </c>
      <c r="C549" s="2" t="str">
        <f t="shared" si="45"/>
        <v>Scan-LUX LB-01.3</v>
      </c>
      <c r="D549" s="2" t="str">
        <f>"0507/00164 "</f>
        <v>0507/00164 </v>
      </c>
      <c r="E549" s="2" t="str">
        <f>"Oddz. Klin. Neurochirurgiczny z P-oddz.IOM"</f>
        <v>Oddz. Klin. Neurochirurgiczny z P-oddz.IOM</v>
      </c>
      <c r="F549" s="2">
        <v>2007</v>
      </c>
      <c r="G549" s="2" t="str">
        <f t="shared" si="42"/>
        <v>FAMED ŻYWIEC Sp. z o.o.</v>
      </c>
      <c r="H549" s="2" t="str">
        <f t="shared" si="46"/>
        <v>12 mies.</v>
      </c>
      <c r="I549" s="2" t="s">
        <v>286</v>
      </c>
    </row>
    <row r="550" spans="1:9" ht="51">
      <c r="A550" s="34" t="s">
        <v>27</v>
      </c>
      <c r="B550" s="2" t="str">
        <f t="shared" si="44"/>
        <v>Lampa zabiegowa na statywie jezdnym</v>
      </c>
      <c r="C550" s="2" t="str">
        <f t="shared" si="45"/>
        <v>Scan-LUX LB-01.3</v>
      </c>
      <c r="D550" s="2" t="str">
        <f>"0208/00295"</f>
        <v>0208/00295</v>
      </c>
      <c r="E550" s="2" t="str">
        <f>"Oddz. Klin. Otolaryng. z P-oddz. Ot.Dziec."</f>
        <v>Oddz. Klin. Otolaryng. z P-oddz. Ot.Dziec.</v>
      </c>
      <c r="F550" s="2">
        <v>2008</v>
      </c>
      <c r="G550" s="2" t="str">
        <f t="shared" si="42"/>
        <v>FAMED ŻYWIEC Sp. z o.o.</v>
      </c>
      <c r="H550" s="2" t="str">
        <f t="shared" si="46"/>
        <v>12 mies.</v>
      </c>
      <c r="I550" s="2" t="s">
        <v>286</v>
      </c>
    </row>
    <row r="551" spans="1:9" ht="51">
      <c r="A551" s="34" t="s">
        <v>28</v>
      </c>
      <c r="B551" s="2" t="str">
        <f t="shared" si="44"/>
        <v>Lampa zabiegowa na statywie jezdnym</v>
      </c>
      <c r="C551" s="2" t="str">
        <f t="shared" si="45"/>
        <v>Scan-LUX LB-01.3</v>
      </c>
      <c r="D551" s="2" t="str">
        <f>"0208/00287"</f>
        <v>0208/00287</v>
      </c>
      <c r="E551" s="2" t="str">
        <f>"Oddz. Klin. Otolaryng. z P-oddz. Ot.Dziec."</f>
        <v>Oddz. Klin. Otolaryng. z P-oddz. Ot.Dziec.</v>
      </c>
      <c r="F551" s="2">
        <v>2008</v>
      </c>
      <c r="G551" s="2" t="str">
        <f t="shared" si="42"/>
        <v>FAMED ŻYWIEC Sp. z o.o.</v>
      </c>
      <c r="H551" s="2" t="str">
        <f t="shared" si="46"/>
        <v>12 mies.</v>
      </c>
      <c r="I551" s="2" t="s">
        <v>286</v>
      </c>
    </row>
    <row r="552" spans="1:9" ht="51">
      <c r="A552" s="34" t="s">
        <v>29</v>
      </c>
      <c r="B552" s="2" t="str">
        <f t="shared" si="44"/>
        <v>Lampa zabiegowa na statywie jezdnym</v>
      </c>
      <c r="C552" s="2" t="str">
        <f t="shared" si="45"/>
        <v>Scan-LUX LB-01.3</v>
      </c>
      <c r="D552" s="2" t="str">
        <f>"0208/00297 "</f>
        <v>0208/00297 </v>
      </c>
      <c r="E552" s="2" t="str">
        <f>"Oddz. Klin. Otolaryng. z P-oddz. Ot.Dziec."</f>
        <v>Oddz. Klin. Otolaryng. z P-oddz. Ot.Dziec.</v>
      </c>
      <c r="F552" s="2">
        <v>2008</v>
      </c>
      <c r="G552" s="2" t="str">
        <f t="shared" si="42"/>
        <v>FAMED ŻYWIEC Sp. z o.o.</v>
      </c>
      <c r="H552" s="2" t="str">
        <f t="shared" si="46"/>
        <v>12 mies.</v>
      </c>
      <c r="I552" s="2" t="s">
        <v>286</v>
      </c>
    </row>
    <row r="553" spans="1:9" ht="51">
      <c r="A553" s="34" t="s">
        <v>30</v>
      </c>
      <c r="B553" s="2" t="str">
        <f t="shared" si="44"/>
        <v>Lampa zabiegowa na statywie jezdnym</v>
      </c>
      <c r="C553" s="2" t="str">
        <f t="shared" si="45"/>
        <v>Scan-LUX LB-01.3</v>
      </c>
      <c r="D553" s="2" t="str">
        <f>"1206/00100 "</f>
        <v>1206/00100 </v>
      </c>
      <c r="E553" s="2" t="str">
        <f>"Oddz. Klin. Reumatologii i Chorób Wewn."</f>
        <v>Oddz. Klin. Reumatologii i Chorób Wewn.</v>
      </c>
      <c r="F553" s="2">
        <v>2006</v>
      </c>
      <c r="G553" s="2" t="str">
        <f t="shared" si="42"/>
        <v>FAMED ŻYWIEC Sp. z o.o.</v>
      </c>
      <c r="H553" s="2" t="str">
        <f t="shared" si="46"/>
        <v>12 mies.</v>
      </c>
      <c r="I553" s="2" t="s">
        <v>286</v>
      </c>
    </row>
    <row r="554" spans="1:9" ht="51">
      <c r="A554" s="34" t="s">
        <v>31</v>
      </c>
      <c r="B554" s="2" t="str">
        <f t="shared" si="44"/>
        <v>Lampa zabiegowa na statywie jezdnym</v>
      </c>
      <c r="C554" s="2" t="str">
        <f t="shared" si="45"/>
        <v>Scan-LUX LB-01.3</v>
      </c>
      <c r="D554" s="2" t="str">
        <f>"1206/00108 "</f>
        <v>1206/00108 </v>
      </c>
      <c r="E554" s="2" t="str">
        <f>"Oddz. Klin. Urologiczny"</f>
        <v>Oddz. Klin. Urologiczny</v>
      </c>
      <c r="F554" s="2">
        <v>2006</v>
      </c>
      <c r="G554" s="2" t="str">
        <f t="shared" si="42"/>
        <v>FAMED ŻYWIEC Sp. z o.o.</v>
      </c>
      <c r="H554" s="2" t="str">
        <f t="shared" si="46"/>
        <v>12 mies.</v>
      </c>
      <c r="I554" s="2" t="s">
        <v>286</v>
      </c>
    </row>
    <row r="555" spans="1:9" ht="51">
      <c r="A555" s="34" t="s">
        <v>32</v>
      </c>
      <c r="B555" s="2" t="str">
        <f t="shared" si="44"/>
        <v>Lampa zabiegowa na statywie jezdnym</v>
      </c>
      <c r="C555" s="2" t="str">
        <f t="shared" si="45"/>
        <v>Scan-LUX LB-01.3</v>
      </c>
      <c r="D555" s="2" t="str">
        <f>"0607/00169"</f>
        <v>0607/00169</v>
      </c>
      <c r="E555" s="2" t="str">
        <f>"Oddz. Klin.Chir.Małoinwazyjnej i Proktol."</f>
        <v>Oddz. Klin.Chir.Małoinwazyjnej i Proktol.</v>
      </c>
      <c r="F555" s="2">
        <v>2007</v>
      </c>
      <c r="G555" s="2" t="str">
        <f t="shared" si="42"/>
        <v>FAMED ŻYWIEC Sp. z o.o.</v>
      </c>
      <c r="H555" s="2" t="str">
        <f t="shared" si="46"/>
        <v>12 mies.</v>
      </c>
      <c r="I555" s="2" t="s">
        <v>286</v>
      </c>
    </row>
    <row r="556" spans="1:9" ht="51">
      <c r="A556" s="34" t="s">
        <v>33</v>
      </c>
      <c r="B556" s="2" t="str">
        <f t="shared" si="44"/>
        <v>Lampa zabiegowa na statywie jezdnym</v>
      </c>
      <c r="C556" s="2" t="str">
        <f t="shared" si="45"/>
        <v>Scan-LUX LB-01.3</v>
      </c>
      <c r="D556" s="2" t="str">
        <f>"0607/00168 "</f>
        <v>0607/00168 </v>
      </c>
      <c r="E556" s="2" t="str">
        <f>"Oddz. Klin.Chir.Małoinwazyjnej i Proktol."</f>
        <v>Oddz. Klin.Chir.Małoinwazyjnej i Proktol.</v>
      </c>
      <c r="F556" s="2">
        <v>2007</v>
      </c>
      <c r="G556" s="2" t="str">
        <f t="shared" si="42"/>
        <v>FAMED ŻYWIEC Sp. z o.o.</v>
      </c>
      <c r="H556" s="2" t="str">
        <f t="shared" si="46"/>
        <v>12 mies.</v>
      </c>
      <c r="I556" s="2" t="s">
        <v>286</v>
      </c>
    </row>
    <row r="557" spans="1:9" ht="51">
      <c r="A557" s="34" t="s">
        <v>34</v>
      </c>
      <c r="B557" s="2" t="str">
        <f t="shared" si="44"/>
        <v>Lampa zabiegowa na statywie jezdnym</v>
      </c>
      <c r="C557" s="2" t="str">
        <f t="shared" si="45"/>
        <v>Scan-LUX LB-01.3</v>
      </c>
      <c r="D557" s="2" t="str">
        <f>"1206/00103 "</f>
        <v>1206/00103 </v>
      </c>
      <c r="E557" s="2" t="str">
        <f>"Oddz. Klin.Chir.Małoinwazyjnej i Proktol."</f>
        <v>Oddz. Klin.Chir.Małoinwazyjnej i Proktol.</v>
      </c>
      <c r="F557" s="2">
        <v>2006</v>
      </c>
      <c r="G557" s="2" t="str">
        <f t="shared" si="42"/>
        <v>FAMED ŻYWIEC Sp. z o.o.</v>
      </c>
      <c r="H557" s="2" t="str">
        <f t="shared" si="46"/>
        <v>12 mies.</v>
      </c>
      <c r="I557" s="2" t="s">
        <v>286</v>
      </c>
    </row>
    <row r="558" spans="1:9" ht="51">
      <c r="A558" s="34" t="s">
        <v>35</v>
      </c>
      <c r="B558" s="2" t="str">
        <f t="shared" si="44"/>
        <v>Lampa zabiegowa na statywie jezdnym</v>
      </c>
      <c r="C558" s="2" t="str">
        <f t="shared" si="45"/>
        <v>Scan-LUX LB-01.3</v>
      </c>
      <c r="D558" s="2" t="str">
        <f>"1206/00105 "</f>
        <v>1206/00105 </v>
      </c>
      <c r="E558" s="2" t="str">
        <f>"Oddz. Klin.Gastroent.Hepatologii,Ch.Metab"</f>
        <v>Oddz. Klin.Gastroent.Hepatologii,Ch.Metab</v>
      </c>
      <c r="F558" s="2">
        <v>2006</v>
      </c>
      <c r="G558" s="2" t="str">
        <f t="shared" si="42"/>
        <v>FAMED ŻYWIEC Sp. z o.o.</v>
      </c>
      <c r="H558" s="2" t="str">
        <f t="shared" si="46"/>
        <v>12 mies.</v>
      </c>
      <c r="I558" s="2" t="s">
        <v>286</v>
      </c>
    </row>
    <row r="559" spans="1:9" ht="51">
      <c r="A559" s="34" t="s">
        <v>36</v>
      </c>
      <c r="B559" s="2" t="str">
        <f t="shared" si="44"/>
        <v>Lampa zabiegowa na statywie jezdnym</v>
      </c>
      <c r="C559" s="2" t="str">
        <f t="shared" si="45"/>
        <v>Scan-LUX LB-01.3</v>
      </c>
      <c r="D559" s="2" t="str">
        <f>"1206/00101 "</f>
        <v>1206/00101 </v>
      </c>
      <c r="E559" s="2" t="str">
        <f>"Oddz. Klin.Gastroent.Hepatologii,Ch.Metab"</f>
        <v>Oddz. Klin.Gastroent.Hepatologii,Ch.Metab</v>
      </c>
      <c r="F559" s="2">
        <v>2006</v>
      </c>
      <c r="G559" s="2" t="str">
        <f t="shared" si="42"/>
        <v>FAMED ŻYWIEC Sp. z o.o.</v>
      </c>
      <c r="H559" s="2" t="str">
        <f t="shared" si="46"/>
        <v>12 mies.</v>
      </c>
      <c r="I559" s="2" t="s">
        <v>286</v>
      </c>
    </row>
    <row r="560" spans="1:9" ht="51">
      <c r="A560" s="34" t="s">
        <v>37</v>
      </c>
      <c r="B560" s="2" t="str">
        <f t="shared" si="44"/>
        <v>Lampa zabiegowa na statywie jezdnym</v>
      </c>
      <c r="C560" s="2" t="str">
        <f t="shared" si="45"/>
        <v>Scan-LUX LB-01.3</v>
      </c>
      <c r="D560" s="2" t="str">
        <f>"0507/00165 "</f>
        <v>0507/00165 </v>
      </c>
      <c r="E560" s="2" t="str">
        <f>"Pracownia Badań Urodynamicznych KLU"</f>
        <v>Pracownia Badań Urodynamicznych KLU</v>
      </c>
      <c r="F560" s="2">
        <v>2007</v>
      </c>
      <c r="G560" s="2" t="str">
        <f t="shared" si="42"/>
        <v>FAMED ŻYWIEC Sp. z o.o.</v>
      </c>
      <c r="H560" s="2" t="str">
        <f t="shared" si="46"/>
        <v>12 mies.</v>
      </c>
      <c r="I560" s="2" t="s">
        <v>286</v>
      </c>
    </row>
    <row r="562" spans="1:9" ht="15">
      <c r="A562" s="3"/>
      <c r="B562" s="67" t="s">
        <v>114</v>
      </c>
      <c r="C562" s="67"/>
      <c r="D562" s="3"/>
      <c r="E562" s="3"/>
      <c r="F562" s="3"/>
      <c r="G562" s="67" t="s">
        <v>115</v>
      </c>
      <c r="H562" s="67"/>
      <c r="I562" s="67"/>
    </row>
    <row r="563" spans="1:9" ht="15">
      <c r="A563" s="3"/>
      <c r="B563" s="3"/>
      <c r="C563" s="3"/>
      <c r="D563" s="3"/>
      <c r="E563" s="3"/>
      <c r="F563" s="3"/>
      <c r="G563" s="3"/>
      <c r="H563" s="3"/>
      <c r="I563" s="3"/>
    </row>
    <row r="567" spans="1:9" ht="15">
      <c r="A567" s="66" t="s">
        <v>274</v>
      </c>
      <c r="B567" s="66"/>
      <c r="C567" s="66"/>
      <c r="D567" s="66"/>
      <c r="E567" s="66"/>
      <c r="F567" s="66"/>
      <c r="G567" s="66"/>
      <c r="H567" s="66"/>
      <c r="I567" s="66"/>
    </row>
    <row r="569" spans="1:9" ht="51">
      <c r="A569" s="33" t="s">
        <v>1</v>
      </c>
      <c r="B569" s="2" t="str">
        <f>"Nazwa urządzenia"</f>
        <v>Nazwa urządzenia</v>
      </c>
      <c r="C569" s="2" t="str">
        <f>"Typ"</f>
        <v>Typ</v>
      </c>
      <c r="D569" s="2" t="str">
        <f>"Nr Seryjny"</f>
        <v>Nr Seryjny</v>
      </c>
      <c r="E569" s="2" t="str">
        <f>"Jednostka Organizacyjna"</f>
        <v>Jednostka Organizacyjna</v>
      </c>
      <c r="F569" s="2" t="str">
        <f>"Rok Produkcji"</f>
        <v>Rok Produkcji</v>
      </c>
      <c r="G569" s="2" t="str">
        <f>"Producent"</f>
        <v>Producent</v>
      </c>
      <c r="H569" s="2" t="str">
        <f>"Częst. przeglądu"</f>
        <v>Częst. przeglądu</v>
      </c>
      <c r="I569" s="2" t="s">
        <v>117</v>
      </c>
    </row>
    <row r="570" spans="1:9" ht="51">
      <c r="A570" s="34" t="s">
        <v>2</v>
      </c>
      <c r="B570" s="2" t="str">
        <f>"LAMPA BEZCIENIOWA"</f>
        <v>LAMPA BEZCIENIOWA</v>
      </c>
      <c r="C570" s="2" t="str">
        <f>"Dentaplus Maxi T5654 ELD I IR "</f>
        <v>Dentaplus Maxi T5654 ELD I IR </v>
      </c>
      <c r="D570" s="2" t="str">
        <f>"1 "</f>
        <v>1 </v>
      </c>
      <c r="E570" s="2" t="str">
        <f>"Prosektorium"</f>
        <v>Prosektorium</v>
      </c>
      <c r="F570" s="2">
        <v>2009</v>
      </c>
      <c r="G570" s="2" t="str">
        <f>"D-TEC"</f>
        <v>D-TEC</v>
      </c>
      <c r="H570" s="2" t="str">
        <f aca="true" t="shared" si="47" ref="H570:H579">"12 mies."</f>
        <v>12 mies.</v>
      </c>
      <c r="I570" s="2" t="s">
        <v>286</v>
      </c>
    </row>
    <row r="571" spans="1:9" ht="51">
      <c r="A571" s="34" t="s">
        <v>3</v>
      </c>
      <c r="B571" s="2" t="str">
        <f>"LAMPA BEZCIENIOWA"</f>
        <v>LAMPA BEZCIENIOWA</v>
      </c>
      <c r="C571" s="2" t="str">
        <f>"Dentaplus Maxi T5654 ELD I IR "</f>
        <v>Dentaplus Maxi T5654 ELD I IR </v>
      </c>
      <c r="D571" s="2" t="str">
        <f>"2 "</f>
        <v>2 </v>
      </c>
      <c r="E571" s="2" t="str">
        <f>"Prosektorium"</f>
        <v>Prosektorium</v>
      </c>
      <c r="F571" s="2">
        <v>2009</v>
      </c>
      <c r="G571" s="2" t="str">
        <f>"D-TEC"</f>
        <v>D-TEC</v>
      </c>
      <c r="H571" s="2" t="str">
        <f t="shared" si="47"/>
        <v>12 mies.</v>
      </c>
      <c r="I571" s="2" t="s">
        <v>286</v>
      </c>
    </row>
    <row r="572" spans="1:9" ht="51">
      <c r="A572" s="34" t="s">
        <v>4</v>
      </c>
      <c r="B572" s="2" t="str">
        <f>"Lampa operacyjna"</f>
        <v>Lampa operacyjna</v>
      </c>
      <c r="C572" s="2" t="str">
        <f>"Mach 130"</f>
        <v>Mach 130</v>
      </c>
      <c r="D572" s="2" t="str">
        <f>"017015-1 "</f>
        <v>017015-1 </v>
      </c>
      <c r="E572" s="2" t="str">
        <f>"Pracownia Hemodynamiki"</f>
        <v>Pracownia Hemodynamiki</v>
      </c>
      <c r="F572" s="2">
        <v>2009</v>
      </c>
      <c r="G572" s="2" t="str">
        <f>"KENEX (Electro-Medical)"</f>
        <v>KENEX (Electro-Medical)</v>
      </c>
      <c r="H572" s="2" t="str">
        <f t="shared" si="47"/>
        <v>12 mies.</v>
      </c>
      <c r="I572" s="2" t="s">
        <v>286</v>
      </c>
    </row>
    <row r="573" spans="1:9" ht="51">
      <c r="A573" s="34" t="s">
        <v>5</v>
      </c>
      <c r="B573" s="2" t="str">
        <f>"Lampa solux statywowa"</f>
        <v>Lampa solux statywowa</v>
      </c>
      <c r="C573" s="2" t="str">
        <f>"LSC"</f>
        <v>LSC</v>
      </c>
      <c r="D573" s="2" t="str">
        <f>"557/78"</f>
        <v>557/78</v>
      </c>
      <c r="E573" s="2" t="s">
        <v>0</v>
      </c>
      <c r="F573" s="2">
        <v>1978</v>
      </c>
      <c r="G573" s="2" t="str">
        <f>"Zalimp Warszawa"</f>
        <v>Zalimp Warszawa</v>
      </c>
      <c r="H573" s="2" t="str">
        <f t="shared" si="47"/>
        <v>12 mies.</v>
      </c>
      <c r="I573" s="2" t="s">
        <v>286</v>
      </c>
    </row>
    <row r="574" spans="1:9" ht="51">
      <c r="A574" s="34" t="s">
        <v>6</v>
      </c>
      <c r="B574" s="2" t="str">
        <f>"Lampa Zabiegowa"</f>
        <v>Lampa Zabiegowa</v>
      </c>
      <c r="C574" s="2" t="str">
        <f>"Bak Med "</f>
        <v>Bak Med </v>
      </c>
      <c r="D574" s="2" t="str">
        <f>"090059"</f>
        <v>090059</v>
      </c>
      <c r="E574" s="2" t="str">
        <f>"Pracownia Tomografii Komputerowej"</f>
        <v>Pracownia Tomografii Komputerowej</v>
      </c>
      <c r="F574" s="2"/>
      <c r="G574" s="2" t="str">
        <f>"BAK MED "</f>
        <v>BAK MED </v>
      </c>
      <c r="H574" s="2" t="str">
        <f t="shared" si="47"/>
        <v>12 mies.</v>
      </c>
      <c r="I574" s="2" t="s">
        <v>286</v>
      </c>
    </row>
    <row r="575" spans="1:9" ht="51">
      <c r="A575" s="34" t="s">
        <v>7</v>
      </c>
      <c r="B575" s="2" t="str">
        <f>"Lampa Zabiegowa"</f>
        <v>Lampa Zabiegowa</v>
      </c>
      <c r="C575" s="2" t="str">
        <f>"D300 mobilna"</f>
        <v>D300 mobilna</v>
      </c>
      <c r="D575" s="2" t="str">
        <f>"5738050-P32842 "</f>
        <v>5738050-P32842 </v>
      </c>
      <c r="E575" s="2" t="str">
        <f>"Oddz. Klin. Anestezjologii i Inten.Terapii"</f>
        <v>Oddz. Klin. Anestezjologii i Inten.Terapii</v>
      </c>
      <c r="F575" s="2">
        <v>2009</v>
      </c>
      <c r="G575" s="2" t="str">
        <f>"Berchtold / Niemcy"</f>
        <v>Berchtold / Niemcy</v>
      </c>
      <c r="H575" s="2" t="str">
        <f t="shared" si="47"/>
        <v>12 mies.</v>
      </c>
      <c r="I575" s="2" t="s">
        <v>286</v>
      </c>
    </row>
    <row r="576" spans="1:9" ht="51">
      <c r="A576" s="34" t="s">
        <v>8</v>
      </c>
      <c r="B576" s="2" t="str">
        <f>"Lampa Zabiegowa"</f>
        <v>Lampa Zabiegowa</v>
      </c>
      <c r="C576" s="2" t="str">
        <f>"D300 mobilna"</f>
        <v>D300 mobilna</v>
      </c>
      <c r="D576" s="2" t="str">
        <f>"5738050 P32840"</f>
        <v>5738050 P32840</v>
      </c>
      <c r="E576" s="2" t="str">
        <f>"Pracownia Naczyniowa"</f>
        <v>Pracownia Naczyniowa</v>
      </c>
      <c r="F576" s="2"/>
      <c r="G576" s="2" t="str">
        <f>"Berchtold / Niemcy"</f>
        <v>Berchtold / Niemcy</v>
      </c>
      <c r="H576" s="2" t="str">
        <f t="shared" si="47"/>
        <v>12 mies.</v>
      </c>
      <c r="I576" s="2" t="s">
        <v>286</v>
      </c>
    </row>
    <row r="577" spans="1:9" ht="51">
      <c r="A577" s="34" t="s">
        <v>9</v>
      </c>
      <c r="B577" s="2" t="str">
        <f>"Lampa Zabiegowa"</f>
        <v>Lampa Zabiegowa</v>
      </c>
      <c r="C577" s="2" t="str">
        <f>"D300 mobilna"</f>
        <v>D300 mobilna</v>
      </c>
      <c r="D577" s="2" t="str">
        <f>"5738050 P32839"</f>
        <v>5738050 P32839</v>
      </c>
      <c r="E577" s="2" t="str">
        <f>"Pracownia Rezonansu Magnetycznego"</f>
        <v>Pracownia Rezonansu Magnetycznego</v>
      </c>
      <c r="F577" s="2"/>
      <c r="G577" s="2" t="str">
        <f>"Berchtold / Niemcy"</f>
        <v>Berchtold / Niemcy</v>
      </c>
      <c r="H577" s="2" t="str">
        <f t="shared" si="47"/>
        <v>12 mies.</v>
      </c>
      <c r="I577" s="2" t="s">
        <v>286</v>
      </c>
    </row>
    <row r="578" spans="1:9" ht="76.5">
      <c r="A578" s="34" t="s">
        <v>10</v>
      </c>
      <c r="B578" s="2" t="s">
        <v>273</v>
      </c>
      <c r="C578" s="2" t="str">
        <f>"BHS-175A"</f>
        <v>BHS-175A</v>
      </c>
      <c r="D578" s="2" t="str">
        <f>"20030668"</f>
        <v>20030668</v>
      </c>
      <c r="E578" s="2" t="str">
        <f>"Poradnia Chirurgii Onkologicznej"</f>
        <v>Poradnia Chirurgii Onkologicznej</v>
      </c>
      <c r="F578" s="2">
        <v>2003</v>
      </c>
      <c r="G578" s="2" t="str">
        <f>"Famed Łódź"</f>
        <v>Famed Łódź</v>
      </c>
      <c r="H578" s="2" t="str">
        <f t="shared" si="47"/>
        <v>12 mies.</v>
      </c>
      <c r="I578" s="2" t="s">
        <v>286</v>
      </c>
    </row>
    <row r="579" spans="1:9" ht="76.5">
      <c r="A579" s="34" t="s">
        <v>11</v>
      </c>
      <c r="B579" s="2" t="s">
        <v>273</v>
      </c>
      <c r="C579" s="2" t="str">
        <f>"BHS-175A"</f>
        <v>BHS-175A</v>
      </c>
      <c r="D579" s="2" t="str">
        <f>"20030669"</f>
        <v>20030669</v>
      </c>
      <c r="E579" s="2" t="str">
        <f>"Przykl. Porad. Chirurgii Urazowo-Ortoped."</f>
        <v>Przykl. Porad. Chirurgii Urazowo-Ortoped.</v>
      </c>
      <c r="F579" s="2">
        <v>2003</v>
      </c>
      <c r="G579" s="2" t="str">
        <f>"Famed Łódź"</f>
        <v>Famed Łódź</v>
      </c>
      <c r="H579" s="2" t="str">
        <f t="shared" si="47"/>
        <v>12 mies.</v>
      </c>
      <c r="I579" s="2" t="s">
        <v>286</v>
      </c>
    </row>
    <row r="581" spans="1:9" ht="15">
      <c r="A581" s="3"/>
      <c r="B581" s="67" t="s">
        <v>114</v>
      </c>
      <c r="C581" s="67"/>
      <c r="D581" s="3"/>
      <c r="E581" s="3"/>
      <c r="F581" s="3"/>
      <c r="G581" s="67" t="s">
        <v>115</v>
      </c>
      <c r="H581" s="67"/>
      <c r="I581" s="67"/>
    </row>
    <row r="585" spans="1:9" ht="15">
      <c r="A585" s="66" t="s">
        <v>275</v>
      </c>
      <c r="B585" s="66"/>
      <c r="C585" s="66"/>
      <c r="D585" s="66"/>
      <c r="E585" s="66"/>
      <c r="F585" s="66"/>
      <c r="G585" s="66"/>
      <c r="H585" s="66"/>
      <c r="I585" s="66"/>
    </row>
    <row r="587" spans="1:9" ht="51">
      <c r="A587" s="38" t="s">
        <v>1</v>
      </c>
      <c r="B587" s="27" t="str">
        <f>"Nazwa urządzenia"</f>
        <v>Nazwa urządzenia</v>
      </c>
      <c r="C587" s="27" t="str">
        <f>"Typ"</f>
        <v>Typ</v>
      </c>
      <c r="D587" s="27" t="str">
        <f>"Nr Seryjny"</f>
        <v>Nr Seryjny</v>
      </c>
      <c r="E587" s="27" t="str">
        <f>"Jednostka Organizacyjna"</f>
        <v>Jednostka Organizacyjna</v>
      </c>
      <c r="F587" s="27" t="str">
        <f>"Rok Produkcji"</f>
        <v>Rok Produkcji</v>
      </c>
      <c r="G587" s="27" t="str">
        <f>"Producent"</f>
        <v>Producent</v>
      </c>
      <c r="H587" s="27" t="str">
        <f>"Częst. przeglądu"</f>
        <v>Częst. przeglądu</v>
      </c>
      <c r="I587" s="2" t="s">
        <v>117</v>
      </c>
    </row>
    <row r="588" spans="1:9" ht="51">
      <c r="A588" s="34" t="s">
        <v>2</v>
      </c>
      <c r="B588" s="27" t="str">
        <f>"Lampa szczelinowa"</f>
        <v>Lampa szczelinowa</v>
      </c>
      <c r="C588" s="27" t="str">
        <f>"30 SL-M"</f>
        <v>30 SL-M</v>
      </c>
      <c r="D588" s="27" t="str">
        <f>"185283 "</f>
        <v>185283 </v>
      </c>
      <c r="E588" s="27" t="str">
        <f>"Poradnia Przykl. Okulistyczna"</f>
        <v>Poradnia Przykl. Okulistyczna</v>
      </c>
      <c r="F588" s="27">
        <v>1990</v>
      </c>
      <c r="G588" s="27" t="str">
        <f>"OPTON"</f>
        <v>OPTON</v>
      </c>
      <c r="H588" s="27" t="str">
        <f>"12 mies."</f>
        <v>12 mies.</v>
      </c>
      <c r="I588" s="2" t="s">
        <v>286</v>
      </c>
    </row>
    <row r="589" spans="1:9" ht="25.5">
      <c r="A589" s="34" t="s">
        <v>3</v>
      </c>
      <c r="B589" s="27" t="str">
        <f>"Lampa szczelinowa"</f>
        <v>Lampa szczelinowa</v>
      </c>
      <c r="C589" s="27" t="str">
        <f>"CSO 980x2 typu Zeiss "</f>
        <v>CSO 980x2 typu Zeiss </v>
      </c>
      <c r="D589" s="27" t="str">
        <f>"[3] 6554/03"</f>
        <v>[3] 6554/03</v>
      </c>
      <c r="E589" s="27" t="str">
        <f>"Oddz. Klin. Okulistyczny"</f>
        <v>Oddz. Klin. Okulistyczny</v>
      </c>
      <c r="F589" s="27">
        <v>1998</v>
      </c>
      <c r="G589" s="27" t="str">
        <f>"Optopol"</f>
        <v>Optopol</v>
      </c>
      <c r="H589" s="27" t="str">
        <f>"12 mies."</f>
        <v>12 mies.</v>
      </c>
      <c r="I589" s="27" t="str">
        <f>"2018-09-29 12:31"</f>
        <v>2018-09-29 12:31</v>
      </c>
    </row>
    <row r="590" spans="1:9" ht="51">
      <c r="A590" s="34" t="s">
        <v>4</v>
      </c>
      <c r="B590" s="27" t="str">
        <f>"Lampa szczelinowa"</f>
        <v>Lampa szczelinowa</v>
      </c>
      <c r="C590" s="27" t="str">
        <f>"SL-8Z"</f>
        <v>SL-8Z</v>
      </c>
      <c r="D590" s="27" t="str">
        <f>"1809108 + 18088"</f>
        <v>1809108 + 18088</v>
      </c>
      <c r="E590" s="27" t="str">
        <f>"Poradnia Przykl. Okulistyczna"</f>
        <v>Poradnia Przykl. Okulistyczna</v>
      </c>
      <c r="F590" s="27">
        <v>2004</v>
      </c>
      <c r="G590" s="27" t="str">
        <f>"Topcon"</f>
        <v>Topcon</v>
      </c>
      <c r="H590" s="27" t="str">
        <f>"12 mies."</f>
        <v>12 mies.</v>
      </c>
      <c r="I590" s="2" t="s">
        <v>286</v>
      </c>
    </row>
    <row r="591" spans="1:9" ht="51">
      <c r="A591" s="34" t="s">
        <v>5</v>
      </c>
      <c r="B591" s="27" t="str">
        <f>"Lampa szczelinowa z tonometrem aplanacyjnym"</f>
        <v>Lampa szczelinowa z tonometrem aplanacyjnym</v>
      </c>
      <c r="C591" s="27" t="str">
        <f>"NS-2D Digital"</f>
        <v>NS-2D Digital</v>
      </c>
      <c r="D591" s="27" t="str">
        <f>"2900735"</f>
        <v>2900735</v>
      </c>
      <c r="E591" s="27" t="str">
        <f>"Oddz. Klin. Okulistyczny"</f>
        <v>Oddz. Klin. Okulistyczny</v>
      </c>
      <c r="F591" s="27">
        <v>2016</v>
      </c>
      <c r="G591" s="27" t="str">
        <f>"Right Mfg."</f>
        <v>Right Mfg.</v>
      </c>
      <c r="H591" s="27" t="str">
        <f>"12 mies."</f>
        <v>12 mies.</v>
      </c>
      <c r="I591" s="27" t="str">
        <f>"2018-10-18"</f>
        <v>2018-10-18</v>
      </c>
    </row>
    <row r="592" spans="1:9" ht="51">
      <c r="A592" s="34" t="s">
        <v>6</v>
      </c>
      <c r="B592" s="27" t="str">
        <f>"Lampa szczelinowa z tonometrem aplanacyjnym"</f>
        <v>Lampa szczelinowa z tonometrem aplanacyjnym</v>
      </c>
      <c r="C592" s="27" t="str">
        <f>"SL 980x5D"</f>
        <v>SL 980x5D</v>
      </c>
      <c r="D592" s="27" t="str">
        <f>"9050111"</f>
        <v>9050111</v>
      </c>
      <c r="E592" s="27" t="str">
        <f>"Szpitalny Oddział Ratunkowy-Klin.Med.Rat"</f>
        <v>Szpitalny Oddział Ratunkowy-Klin.Med.Rat</v>
      </c>
      <c r="F592" s="27">
        <v>2009</v>
      </c>
      <c r="G592" s="27" t="str">
        <f>"CSO"</f>
        <v>CSO</v>
      </c>
      <c r="H592" s="27" t="str">
        <f>"12 mies."</f>
        <v>12 mies.</v>
      </c>
      <c r="I592" s="27" t="str">
        <f>"2018-10-20"</f>
        <v>2018-10-20</v>
      </c>
    </row>
    <row r="594" spans="1:9" ht="15">
      <c r="A594" s="3"/>
      <c r="B594" s="67" t="s">
        <v>114</v>
      </c>
      <c r="C594" s="67"/>
      <c r="D594" s="3"/>
      <c r="E594" s="3"/>
      <c r="F594" s="3"/>
      <c r="G594" s="67" t="s">
        <v>115</v>
      </c>
      <c r="H594" s="67"/>
      <c r="I594" s="67"/>
    </row>
    <row r="599" spans="1:9" ht="15">
      <c r="A599" s="66" t="s">
        <v>276</v>
      </c>
      <c r="B599" s="66"/>
      <c r="C599" s="66"/>
      <c r="D599" s="66"/>
      <c r="E599" s="66"/>
      <c r="F599" s="66"/>
      <c r="G599" s="66"/>
      <c r="H599" s="66"/>
      <c r="I599" s="66"/>
    </row>
    <row r="601" spans="1:9" ht="51">
      <c r="A601" s="38" t="s">
        <v>1</v>
      </c>
      <c r="B601" s="27" t="str">
        <f>"Nazwa urządzenia"</f>
        <v>Nazwa urządzenia</v>
      </c>
      <c r="C601" s="27" t="str">
        <f>"Typ"</f>
        <v>Typ</v>
      </c>
      <c r="D601" s="27" t="str">
        <f>"Nr Seryjny"</f>
        <v>Nr Seryjny</v>
      </c>
      <c r="E601" s="27" t="str">
        <f>"Jednostka Organizacyjna"</f>
        <v>Jednostka Organizacyjna</v>
      </c>
      <c r="F601" s="27" t="str">
        <f>"Rok Produkcji"</f>
        <v>Rok Produkcji</v>
      </c>
      <c r="G601" s="27" t="str">
        <f>"Producent"</f>
        <v>Producent</v>
      </c>
      <c r="H601" s="27" t="str">
        <f>"Częst. przeglądu"</f>
        <v>Częst. przeglądu</v>
      </c>
      <c r="I601" s="2" t="s">
        <v>117</v>
      </c>
    </row>
    <row r="602" spans="1:9" ht="51">
      <c r="A602" s="34" t="s">
        <v>2</v>
      </c>
      <c r="B602" s="27" t="str">
        <f>"Lampa szczelinowa"</f>
        <v>Lampa szczelinowa</v>
      </c>
      <c r="C602" s="27" t="str">
        <f>"-"</f>
        <v>-</v>
      </c>
      <c r="D602" s="27" t="str">
        <f>"9002202 "</f>
        <v>9002202 </v>
      </c>
      <c r="E602" s="27" t="str">
        <f>"Oddz. Klin. Okulistyczny"</f>
        <v>Oddz. Klin. Okulistyczny</v>
      </c>
      <c r="F602" s="27"/>
      <c r="G602" s="27" t="str">
        <f>"Haag - Streit Interzeag"</f>
        <v>Haag - Streit Interzeag</v>
      </c>
      <c r="H602" s="27" t="str">
        <f>"12 mies."</f>
        <v>12 mies.</v>
      </c>
      <c r="I602" s="2" t="s">
        <v>286</v>
      </c>
    </row>
    <row r="603" spans="1:9" ht="51">
      <c r="A603" s="34" t="s">
        <v>3</v>
      </c>
      <c r="B603" s="27" t="str">
        <f>"Lampa szczelinowa"</f>
        <v>Lampa szczelinowa</v>
      </c>
      <c r="C603" s="27" t="str">
        <f>"BM900"</f>
        <v>BM900</v>
      </c>
      <c r="D603" s="27" t="str">
        <f>"9002179418 "</f>
        <v>9002179418 </v>
      </c>
      <c r="E603" s="27" t="str">
        <f>"Poradnia Przykl. Okulistyczna"</f>
        <v>Poradnia Przykl. Okulistyczna</v>
      </c>
      <c r="F603" s="27">
        <v>1998</v>
      </c>
      <c r="G603" s="27" t="str">
        <f>"Haag - Streit Interzeag"</f>
        <v>Haag - Streit Interzeag</v>
      </c>
      <c r="H603" s="27" t="str">
        <f>"12 mies."</f>
        <v>12 mies.</v>
      </c>
      <c r="I603" s="2" t="s">
        <v>286</v>
      </c>
    </row>
    <row r="604" spans="1:9" ht="51">
      <c r="A604" s="34" t="s">
        <v>4</v>
      </c>
      <c r="B604" s="27" t="str">
        <f>"Lampa szczelinowa"</f>
        <v>Lampa szczelinowa</v>
      </c>
      <c r="C604" s="27" t="str">
        <f>"CSO"</f>
        <v>CSO</v>
      </c>
      <c r="D604" s="27" t="str">
        <f>"9911105 "</f>
        <v>9911105 </v>
      </c>
      <c r="E604" s="27" t="str">
        <f>"Poradnia Przykl. Okulistyczna"</f>
        <v>Poradnia Przykl. Okulistyczna</v>
      </c>
      <c r="F604" s="27">
        <v>2002</v>
      </c>
      <c r="G604" s="27" t="str">
        <f>"Haag - Streit Interzeag"</f>
        <v>Haag - Streit Interzeag</v>
      </c>
      <c r="H604" s="27" t="str">
        <f>"12 mies."</f>
        <v>12 mies.</v>
      </c>
      <c r="I604" s="2" t="s">
        <v>286</v>
      </c>
    </row>
    <row r="605" spans="1:9" ht="15">
      <c r="A605" s="36"/>
      <c r="B605" s="28"/>
      <c r="C605" s="28"/>
      <c r="D605" s="28"/>
      <c r="E605" s="28"/>
      <c r="F605" s="28"/>
      <c r="G605" s="28"/>
      <c r="H605" s="28"/>
      <c r="I605" s="28"/>
    </row>
    <row r="606" spans="1:9" ht="15">
      <c r="A606" s="36"/>
      <c r="B606" s="64" t="s">
        <v>114</v>
      </c>
      <c r="C606" s="64"/>
      <c r="D606" s="28"/>
      <c r="E606" s="28"/>
      <c r="F606" s="28"/>
      <c r="G606" s="64" t="s">
        <v>115</v>
      </c>
      <c r="H606" s="64"/>
      <c r="I606" s="64"/>
    </row>
    <row r="607" spans="1:9" ht="15">
      <c r="A607" s="36"/>
      <c r="B607" s="28"/>
      <c r="C607" s="28"/>
      <c r="D607" s="28"/>
      <c r="E607" s="28"/>
      <c r="F607" s="28"/>
      <c r="G607" s="28"/>
      <c r="H607" s="28"/>
      <c r="I607" s="28"/>
    </row>
    <row r="608" spans="1:9" ht="15">
      <c r="A608" s="36"/>
      <c r="B608" s="28"/>
      <c r="C608" s="28"/>
      <c r="D608" s="28"/>
      <c r="E608" s="28"/>
      <c r="F608" s="28"/>
      <c r="G608" s="28"/>
      <c r="H608" s="28"/>
      <c r="I608" s="28"/>
    </row>
    <row r="609" spans="1:9" ht="15">
      <c r="A609" s="36"/>
      <c r="B609" s="28"/>
      <c r="C609" s="28"/>
      <c r="D609" s="28"/>
      <c r="E609" s="28"/>
      <c r="F609" s="28"/>
      <c r="G609" s="28"/>
      <c r="H609" s="28"/>
      <c r="I609" s="28"/>
    </row>
    <row r="610" spans="1:9" ht="15">
      <c r="A610" s="36"/>
      <c r="B610" s="28"/>
      <c r="C610" s="28"/>
      <c r="D610" s="28"/>
      <c r="E610" s="28"/>
      <c r="F610" s="28"/>
      <c r="G610" s="28"/>
      <c r="H610" s="28"/>
      <c r="I610" s="28"/>
    </row>
    <row r="611" spans="1:9" ht="15">
      <c r="A611" s="66" t="s">
        <v>277</v>
      </c>
      <c r="B611" s="66"/>
      <c r="C611" s="66"/>
      <c r="D611" s="66"/>
      <c r="E611" s="66"/>
      <c r="F611" s="66"/>
      <c r="G611" s="66"/>
      <c r="H611" s="66"/>
      <c r="I611" s="66"/>
    </row>
    <row r="613" spans="1:9" ht="51">
      <c r="A613" s="38" t="s">
        <v>1</v>
      </c>
      <c r="B613" s="27" t="str">
        <f>"Nazwa urządzenia"</f>
        <v>Nazwa urządzenia</v>
      </c>
      <c r="C613" s="27" t="str">
        <f>"Typ"</f>
        <v>Typ</v>
      </c>
      <c r="D613" s="27" t="str">
        <f>"Nr Seryjny"</f>
        <v>Nr Seryjny</v>
      </c>
      <c r="E613" s="27" t="str">
        <f>"Jednostka Organizacyjna"</f>
        <v>Jednostka Organizacyjna</v>
      </c>
      <c r="F613" s="27" t="str">
        <f>"Rok Produkcji"</f>
        <v>Rok Produkcji</v>
      </c>
      <c r="G613" s="27" t="str">
        <f>"Producent"</f>
        <v>Producent</v>
      </c>
      <c r="H613" s="27" t="str">
        <f>"Częst. przeglądu"</f>
        <v>Częst. przeglądu</v>
      </c>
      <c r="I613" s="2" t="s">
        <v>117</v>
      </c>
    </row>
    <row r="614" spans="1:9" ht="51">
      <c r="A614" s="34" t="s">
        <v>2</v>
      </c>
      <c r="B614" s="27" t="str">
        <f>"Lampa szczelinowa"</f>
        <v>Lampa szczelinowa</v>
      </c>
      <c r="C614" s="27" t="str">
        <f>"SL-203"</f>
        <v>SL-203</v>
      </c>
      <c r="D614" s="27" t="str">
        <f>"S20360402553 "</f>
        <v>S20360402553 </v>
      </c>
      <c r="E614" s="27" t="str">
        <f>"Oddz. Klin. Okulistyczny"</f>
        <v>Oddz. Klin. Okulistyczny</v>
      </c>
      <c r="F614" s="27">
        <v>2005</v>
      </c>
      <c r="G614" s="27" t="str">
        <f>"Shin Nippon"</f>
        <v>Shin Nippon</v>
      </c>
      <c r="H614" s="27" t="str">
        <f>"12 mies."</f>
        <v>12 mies.</v>
      </c>
      <c r="I614" s="2" t="s">
        <v>286</v>
      </c>
    </row>
    <row r="615" spans="1:9" ht="51">
      <c r="A615" s="34" t="s">
        <v>3</v>
      </c>
      <c r="B615" s="27" t="str">
        <f>"Lampa szczelinowa"</f>
        <v>Lampa szczelinowa</v>
      </c>
      <c r="C615" s="27" t="str">
        <f>"SL-203"</f>
        <v>SL-203</v>
      </c>
      <c r="D615" s="27" t="str">
        <f>"S2032270 "</f>
        <v>S2032270 </v>
      </c>
      <c r="E615" s="27" t="str">
        <f>"Oddz. Klin. Okulistyczny Dziecięcy"</f>
        <v>Oddz. Klin. Okulistyczny Dziecięcy</v>
      </c>
      <c r="F615" s="27">
        <v>2003</v>
      </c>
      <c r="G615" s="27" t="str">
        <f>"Shin Nippon"</f>
        <v>Shin Nippon</v>
      </c>
      <c r="H615" s="27" t="str">
        <f>"12 mies."</f>
        <v>12 mies.</v>
      </c>
      <c r="I615" s="2" t="s">
        <v>286</v>
      </c>
    </row>
    <row r="616" spans="1:9" ht="15">
      <c r="A616" s="36"/>
      <c r="B616" s="28"/>
      <c r="C616" s="28"/>
      <c r="D616" s="28"/>
      <c r="E616" s="28"/>
      <c r="F616" s="28"/>
      <c r="G616" s="28"/>
      <c r="H616" s="28"/>
      <c r="I616" s="28"/>
    </row>
    <row r="617" spans="1:9" ht="15">
      <c r="A617" s="36"/>
      <c r="B617" s="64" t="s">
        <v>114</v>
      </c>
      <c r="C617" s="64"/>
      <c r="D617" s="28"/>
      <c r="E617" s="28"/>
      <c r="F617" s="28"/>
      <c r="G617" s="64" t="s">
        <v>115</v>
      </c>
      <c r="H617" s="64"/>
      <c r="I617" s="64"/>
    </row>
    <row r="618" spans="1:9" ht="15">
      <c r="A618" s="36"/>
      <c r="B618" s="28"/>
      <c r="C618" s="28"/>
      <c r="D618" s="28"/>
      <c r="E618" s="28"/>
      <c r="F618" s="28"/>
      <c r="G618" s="28"/>
      <c r="H618" s="28"/>
      <c r="I618" s="28"/>
    </row>
    <row r="619" spans="1:9" ht="15">
      <c r="A619" s="36"/>
      <c r="B619" s="28"/>
      <c r="C619" s="28"/>
      <c r="D619" s="28"/>
      <c r="E619" s="28"/>
      <c r="F619" s="28"/>
      <c r="G619" s="28"/>
      <c r="H619" s="28"/>
      <c r="I619" s="28"/>
    </row>
    <row r="620" spans="1:9" ht="15">
      <c r="A620" s="36"/>
      <c r="B620" s="28"/>
      <c r="C620" s="28"/>
      <c r="D620" s="28"/>
      <c r="E620" s="28"/>
      <c r="F620" s="28"/>
      <c r="G620" s="28"/>
      <c r="H620" s="28"/>
      <c r="I620" s="28"/>
    </row>
    <row r="621" spans="1:9" ht="15">
      <c r="A621" s="36"/>
      <c r="B621" s="28"/>
      <c r="C621" s="28"/>
      <c r="D621" s="28"/>
      <c r="E621" s="28"/>
      <c r="F621" s="28"/>
      <c r="G621" s="28"/>
      <c r="H621" s="28"/>
      <c r="I621" s="28"/>
    </row>
    <row r="622" spans="1:9" ht="15">
      <c r="A622" s="66" t="s">
        <v>278</v>
      </c>
      <c r="B622" s="66"/>
      <c r="C622" s="66"/>
      <c r="D622" s="66"/>
      <c r="E622" s="66"/>
      <c r="F622" s="66"/>
      <c r="G622" s="66"/>
      <c r="H622" s="66"/>
      <c r="I622" s="66"/>
    </row>
    <row r="624" spans="1:9" ht="51">
      <c r="A624" s="38" t="s">
        <v>1</v>
      </c>
      <c r="B624" s="27" t="str">
        <f>"Nazwa urządzenia"</f>
        <v>Nazwa urządzenia</v>
      </c>
      <c r="C624" s="27" t="str">
        <f>"Typ"</f>
        <v>Typ</v>
      </c>
      <c r="D624" s="27" t="str">
        <f>"Nr Seryjny"</f>
        <v>Nr Seryjny</v>
      </c>
      <c r="E624" s="27" t="str">
        <f>"Jednostka Organizacyjna"</f>
        <v>Jednostka Organizacyjna</v>
      </c>
      <c r="F624" s="27" t="str">
        <f>"Rok Produkcji"</f>
        <v>Rok Produkcji</v>
      </c>
      <c r="G624" s="27" t="str">
        <f>"Producent"</f>
        <v>Producent</v>
      </c>
      <c r="H624" s="27" t="str">
        <f>"Częst. przeglądu"</f>
        <v>Częst. przeglądu</v>
      </c>
      <c r="I624" s="2" t="s">
        <v>117</v>
      </c>
    </row>
    <row r="625" spans="1:9" ht="51">
      <c r="A625" s="34" t="s">
        <v>2</v>
      </c>
      <c r="B625" s="27" t="str">
        <f>"Lampa szczelinowa z tonometrem aplanacyjnym"</f>
        <v>Lampa szczelinowa z tonometrem aplanacyjnym</v>
      </c>
      <c r="C625" s="27" t="str">
        <f>"FS-3V"</f>
        <v>FS-3V</v>
      </c>
      <c r="D625" s="27" t="str">
        <f>"30083 + 150084 + 268363 + 28222 "</f>
        <v>30083 + 150084 + 268363 + 28222 </v>
      </c>
      <c r="E625" s="27" t="str">
        <f>"Poradnia Przykl. Okulistyczna"</f>
        <v>Poradnia Przykl. Okulistyczna</v>
      </c>
      <c r="F625" s="27">
        <v>1998</v>
      </c>
      <c r="G625" s="27" t="str">
        <f>"NIKON"</f>
        <v>NIKON</v>
      </c>
      <c r="H625" s="27" t="str">
        <f>"12 mies."</f>
        <v>12 mies.</v>
      </c>
      <c r="I625" s="2" t="s">
        <v>286</v>
      </c>
    </row>
    <row r="626" spans="1:9" ht="51">
      <c r="A626" s="34" t="s">
        <v>3</v>
      </c>
      <c r="B626" s="27" t="str">
        <f>"Lampa szczelinowa z tonometrem aplanacyjnym"</f>
        <v>Lampa szczelinowa z tonometrem aplanacyjnym</v>
      </c>
      <c r="C626" s="27" t="str">
        <f>"NS-1V"</f>
        <v>NS-1V</v>
      </c>
      <c r="D626" s="27" t="str">
        <f>"50944 "</f>
        <v>50944 </v>
      </c>
      <c r="E626" s="27" t="str">
        <f>"Poradnia Przykl. Okulistyczna"</f>
        <v>Poradnia Przykl. Okulistyczna</v>
      </c>
      <c r="F626" s="27">
        <v>1999</v>
      </c>
      <c r="G626" s="27" t="str">
        <f>"NIKON"</f>
        <v>NIKON</v>
      </c>
      <c r="H626" s="27" t="str">
        <f>"12 mies."</f>
        <v>12 mies.</v>
      </c>
      <c r="I626" s="2" t="s">
        <v>286</v>
      </c>
    </row>
    <row r="627" spans="1:9" ht="15">
      <c r="A627" s="36"/>
      <c r="B627" s="28"/>
      <c r="C627" s="28"/>
      <c r="D627" s="28"/>
      <c r="E627" s="28"/>
      <c r="F627" s="28"/>
      <c r="G627" s="28"/>
      <c r="H627" s="28"/>
      <c r="I627" s="28"/>
    </row>
    <row r="628" spans="1:9" ht="15">
      <c r="A628" s="36"/>
      <c r="B628" s="64" t="s">
        <v>279</v>
      </c>
      <c r="C628" s="64"/>
      <c r="D628" s="28"/>
      <c r="E628" s="28"/>
      <c r="F628" s="28"/>
      <c r="G628" s="64" t="s">
        <v>115</v>
      </c>
      <c r="H628" s="64"/>
      <c r="I628" s="64"/>
    </row>
    <row r="629" spans="1:9" ht="15">
      <c r="A629" s="36"/>
      <c r="B629" s="28"/>
      <c r="C629" s="28"/>
      <c r="D629" s="28"/>
      <c r="E629" s="28"/>
      <c r="F629" s="28"/>
      <c r="G629" s="28"/>
      <c r="H629" s="28"/>
      <c r="I629" s="28"/>
    </row>
    <row r="630" spans="1:9" ht="15">
      <c r="A630" s="36"/>
      <c r="B630" s="28"/>
      <c r="C630" s="28"/>
      <c r="D630" s="28"/>
      <c r="E630" s="28"/>
      <c r="F630" s="28"/>
      <c r="G630" s="28"/>
      <c r="H630" s="28"/>
      <c r="I630" s="28"/>
    </row>
    <row r="631" spans="1:9" ht="15">
      <c r="A631" s="36"/>
      <c r="B631" s="28"/>
      <c r="C631" s="28"/>
      <c r="D631" s="28"/>
      <c r="E631" s="28"/>
      <c r="F631" s="28"/>
      <c r="G631" s="28"/>
      <c r="H631" s="28"/>
      <c r="I631" s="28"/>
    </row>
    <row r="632" spans="1:9" ht="15">
      <c r="A632" s="36"/>
      <c r="B632" s="28"/>
      <c r="C632" s="28"/>
      <c r="D632" s="28"/>
      <c r="E632" s="28"/>
      <c r="F632" s="28"/>
      <c r="G632" s="28"/>
      <c r="H632" s="28"/>
      <c r="I632" s="28"/>
    </row>
    <row r="633" spans="1:9" ht="15">
      <c r="A633" s="66" t="s">
        <v>280</v>
      </c>
      <c r="B633" s="66"/>
      <c r="C633" s="66"/>
      <c r="D633" s="66"/>
      <c r="E633" s="66"/>
      <c r="F633" s="66"/>
      <c r="G633" s="66"/>
      <c r="H633" s="66"/>
      <c r="I633" s="66"/>
    </row>
    <row r="635" spans="1:9" ht="51">
      <c r="A635" s="38" t="s">
        <v>1</v>
      </c>
      <c r="B635" s="27" t="str">
        <f>"Nazwa urządzenia"</f>
        <v>Nazwa urządzenia</v>
      </c>
      <c r="C635" s="27" t="str">
        <f>"Typ"</f>
        <v>Typ</v>
      </c>
      <c r="D635" s="27" t="str">
        <f>"Nr Seryjny"</f>
        <v>Nr Seryjny</v>
      </c>
      <c r="E635" s="27" t="str">
        <f>"Jednostka Organizacyjna"</f>
        <v>Jednostka Organizacyjna</v>
      </c>
      <c r="F635" s="27" t="str">
        <f>"Rok Produkcji"</f>
        <v>Rok Produkcji</v>
      </c>
      <c r="G635" s="27" t="str">
        <f>"Producent"</f>
        <v>Producent</v>
      </c>
      <c r="H635" s="27" t="str">
        <f>"Częst. przeglądu"</f>
        <v>Częst. przeglądu</v>
      </c>
      <c r="I635" s="2" t="s">
        <v>117</v>
      </c>
    </row>
    <row r="636" spans="1:9" ht="51">
      <c r="A636" s="34" t="s">
        <v>2</v>
      </c>
      <c r="B636" s="27" t="str">
        <f>"Lampa szczelinowa"</f>
        <v>Lampa szczelinowa</v>
      </c>
      <c r="C636" s="27" t="str">
        <f>"NSL-980x5"</f>
        <v>NSL-980x5</v>
      </c>
      <c r="D636" s="27" t="str">
        <f>"228004711011 + 1011006 +1014305"</f>
        <v>228004711011 + 1011006 +1014305</v>
      </c>
      <c r="E636" s="27" t="str">
        <f>"Poradnia Przykl. Okulistyczna"</f>
        <v>Poradnia Przykl. Okulistyczna</v>
      </c>
      <c r="F636" s="27">
        <v>2010</v>
      </c>
      <c r="G636" s="27" t="str">
        <f>"NETZ"</f>
        <v>NETZ</v>
      </c>
      <c r="H636" s="27" t="str">
        <f>"12 mies."</f>
        <v>12 mies.</v>
      </c>
      <c r="I636" s="2" t="s">
        <v>286</v>
      </c>
    </row>
    <row r="637" spans="1:9" ht="51">
      <c r="A637" s="34" t="s">
        <v>3</v>
      </c>
      <c r="B637" s="27" t="str">
        <f>"Lampa szczelinowa z tonometrem aplanacyjnym"</f>
        <v>Lampa szczelinowa z tonometrem aplanacyjnym</v>
      </c>
      <c r="C637" s="27" t="str">
        <f>"NSL-2Z"</f>
        <v>NSL-2Z</v>
      </c>
      <c r="D637" s="27" t="str">
        <f>"0609257 + 1310906047"</f>
        <v>0609257 + 1310906047</v>
      </c>
      <c r="E637" s="27" t="str">
        <f>"Poradnia Przykl. Okulistyczna"</f>
        <v>Poradnia Przykl. Okulistyczna</v>
      </c>
      <c r="F637" s="27">
        <v>2006</v>
      </c>
      <c r="G637" s="27" t="str">
        <f>"NETZ"</f>
        <v>NETZ</v>
      </c>
      <c r="H637" s="27" t="str">
        <f>"12 mies."</f>
        <v>12 mies.</v>
      </c>
      <c r="I637" s="2" t="s">
        <v>286</v>
      </c>
    </row>
    <row r="638" spans="1:9" ht="51">
      <c r="A638" s="34" t="s">
        <v>4</v>
      </c>
      <c r="B638" s="27" t="str">
        <f>"Lampa szczelinowa z tonometrem aplanacyjnym"</f>
        <v>Lampa szczelinowa z tonometrem aplanacyjnym</v>
      </c>
      <c r="C638" s="27" t="str">
        <f>"NSL-2Z"</f>
        <v>NSL-2Z</v>
      </c>
      <c r="D638" s="27" t="str">
        <f>"0609209"</f>
        <v>0609209</v>
      </c>
      <c r="E638" s="27" t="str">
        <f>"Poradnia Przykl. Okulistyczna"</f>
        <v>Poradnia Przykl. Okulistyczna</v>
      </c>
      <c r="F638" s="27">
        <v>2006</v>
      </c>
      <c r="G638" s="27" t="str">
        <f>"NETZ"</f>
        <v>NETZ</v>
      </c>
      <c r="H638" s="27" t="str">
        <f>"12 mies."</f>
        <v>12 mies.</v>
      </c>
      <c r="I638" s="2" t="s">
        <v>286</v>
      </c>
    </row>
    <row r="639" spans="1:9" ht="15">
      <c r="A639" s="36"/>
      <c r="B639" s="28"/>
      <c r="C639" s="28"/>
      <c r="D639" s="28"/>
      <c r="E639" s="28"/>
      <c r="F639" s="28"/>
      <c r="G639" s="28"/>
      <c r="H639" s="28"/>
      <c r="I639" s="28"/>
    </row>
    <row r="640" spans="1:9" ht="15">
      <c r="A640" s="36"/>
      <c r="B640" s="64" t="s">
        <v>114</v>
      </c>
      <c r="C640" s="64"/>
      <c r="D640" s="28"/>
      <c r="E640" s="28"/>
      <c r="F640" s="28"/>
      <c r="G640" s="64" t="s">
        <v>115</v>
      </c>
      <c r="H640" s="64"/>
      <c r="I640" s="64"/>
    </row>
    <row r="641" spans="1:9" ht="15">
      <c r="A641" s="36"/>
      <c r="B641" s="28"/>
      <c r="C641" s="28"/>
      <c r="D641" s="28"/>
      <c r="E641" s="28"/>
      <c r="F641" s="28"/>
      <c r="G641" s="28"/>
      <c r="H641" s="28"/>
      <c r="I641" s="28"/>
    </row>
    <row r="642" spans="1:9" ht="15">
      <c r="A642" s="36"/>
      <c r="B642" s="28"/>
      <c r="C642" s="28"/>
      <c r="D642" s="28"/>
      <c r="E642" s="28"/>
      <c r="F642" s="28"/>
      <c r="G642" s="28"/>
      <c r="H642" s="28"/>
      <c r="I642" s="28"/>
    </row>
    <row r="643" spans="1:9" ht="15">
      <c r="A643" s="36"/>
      <c r="B643" s="28"/>
      <c r="C643" s="28"/>
      <c r="D643" s="28"/>
      <c r="E643" s="28"/>
      <c r="F643" s="28"/>
      <c r="G643" s="28"/>
      <c r="H643" s="28"/>
      <c r="I643" s="28"/>
    </row>
    <row r="644" spans="1:9" ht="15">
      <c r="A644" s="36"/>
      <c r="B644" s="28"/>
      <c r="C644" s="28"/>
      <c r="D644" s="28"/>
      <c r="E644" s="28"/>
      <c r="F644" s="28"/>
      <c r="G644" s="28"/>
      <c r="H644" s="28"/>
      <c r="I644" s="28"/>
    </row>
    <row r="645" spans="1:9" ht="15">
      <c r="A645" s="66" t="s">
        <v>281</v>
      </c>
      <c r="B645" s="66"/>
      <c r="C645" s="66"/>
      <c r="D645" s="66"/>
      <c r="E645" s="66"/>
      <c r="F645" s="66"/>
      <c r="G645" s="66"/>
      <c r="H645" s="66"/>
      <c r="I645" s="66"/>
    </row>
    <row r="647" spans="1:9" ht="51">
      <c r="A647" s="38" t="s">
        <v>1</v>
      </c>
      <c r="B647" s="27" t="str">
        <f>"Nazwa urządzenia"</f>
        <v>Nazwa urządzenia</v>
      </c>
      <c r="C647" s="27" t="str">
        <f>"Typ"</f>
        <v>Typ</v>
      </c>
      <c r="D647" s="27" t="str">
        <f>"Nr Seryjny"</f>
        <v>Nr Seryjny</v>
      </c>
      <c r="E647" s="27" t="str">
        <f>"Jednostka Organizacyjna"</f>
        <v>Jednostka Organizacyjna</v>
      </c>
      <c r="F647" s="27" t="str">
        <f>"Rok Produkcji"</f>
        <v>Rok Produkcji</v>
      </c>
      <c r="G647" s="27" t="str">
        <f>"Producent"</f>
        <v>Producent</v>
      </c>
      <c r="H647" s="27" t="str">
        <f>"Częst. przeglądu"</f>
        <v>Częst. przeglądu</v>
      </c>
      <c r="I647" s="2" t="s">
        <v>117</v>
      </c>
    </row>
    <row r="648" spans="1:9" ht="51">
      <c r="A648" s="34" t="s">
        <v>2</v>
      </c>
      <c r="B648" s="27" t="str">
        <f>"Lampa szczelinowa"</f>
        <v>Lampa szczelinowa</v>
      </c>
      <c r="C648" s="27" t="str">
        <f>"SL-2040"</f>
        <v>SL-2040</v>
      </c>
      <c r="D648" s="27" t="str">
        <f>"0003042 "</f>
        <v>0003042 </v>
      </c>
      <c r="E648" s="27" t="str">
        <f>"Oddz. Klin. Okulistyczny"</f>
        <v>Oddz. Klin. Okulistyczny</v>
      </c>
      <c r="F648" s="27">
        <v>2000</v>
      </c>
      <c r="G648" s="27" t="str">
        <f>"Poland Optical Sp. z o.o."</f>
        <v>Poland Optical Sp. z o.o.</v>
      </c>
      <c r="H648" s="27" t="str">
        <f>"12 mies."</f>
        <v>12 mies.</v>
      </c>
      <c r="I648" s="2" t="s">
        <v>286</v>
      </c>
    </row>
    <row r="649" spans="1:9" ht="51">
      <c r="A649" s="34" t="s">
        <v>3</v>
      </c>
      <c r="B649" s="27" t="str">
        <f>"Lampa szczelinowa"</f>
        <v>Lampa szczelinowa</v>
      </c>
      <c r="C649" s="27" t="str">
        <f>"SL-950 CSO"</f>
        <v>SL-950 CSO</v>
      </c>
      <c r="D649" s="27"/>
      <c r="E649" s="27" t="str">
        <f>"Oddz. Klin. Okulistyczny"</f>
        <v>Oddz. Klin. Okulistyczny</v>
      </c>
      <c r="F649" s="27">
        <v>1997</v>
      </c>
      <c r="G649" s="27" t="str">
        <f>"Poland Optical Sp. z o.o."</f>
        <v>Poland Optical Sp. z o.o.</v>
      </c>
      <c r="H649" s="27" t="str">
        <f>"12 mies."</f>
        <v>12 mies.</v>
      </c>
      <c r="I649" s="2" t="s">
        <v>286</v>
      </c>
    </row>
    <row r="651" spans="2:9" ht="15">
      <c r="B651" s="64" t="s">
        <v>114</v>
      </c>
      <c r="C651" s="64"/>
      <c r="G651" s="64" t="s">
        <v>115</v>
      </c>
      <c r="H651" s="64"/>
      <c r="I651" s="64"/>
    </row>
    <row r="656" spans="1:9" ht="15">
      <c r="A656" s="66" t="s">
        <v>282</v>
      </c>
      <c r="B656" s="66"/>
      <c r="C656" s="66"/>
      <c r="D656" s="66"/>
      <c r="E656" s="66"/>
      <c r="F656" s="66"/>
      <c r="G656" s="66"/>
      <c r="H656" s="66"/>
      <c r="I656" s="66"/>
    </row>
    <row r="658" spans="1:9" ht="51">
      <c r="A658" s="38" t="s">
        <v>1</v>
      </c>
      <c r="B658" s="2" t="str">
        <f>"Nazwa urządzenia"</f>
        <v>Nazwa urządzenia</v>
      </c>
      <c r="C658" s="2" t="str">
        <f>"Typ"</f>
        <v>Typ</v>
      </c>
      <c r="D658" s="2" t="str">
        <f>"Nr Seryjny"</f>
        <v>Nr Seryjny</v>
      </c>
      <c r="E658" s="2" t="str">
        <f>"Jednostka Organizacyjna"</f>
        <v>Jednostka Organizacyjna</v>
      </c>
      <c r="F658" s="2" t="str">
        <f>"Rok Produkcji"</f>
        <v>Rok Produkcji</v>
      </c>
      <c r="G658" s="2" t="str">
        <f>"Producent"</f>
        <v>Producent</v>
      </c>
      <c r="H658" s="2" t="str">
        <f>"Częst. przeglądu"</f>
        <v>Częst. przeglądu</v>
      </c>
      <c r="I658" s="2" t="s">
        <v>117</v>
      </c>
    </row>
    <row r="659" spans="1:9" ht="51">
      <c r="A659" s="34" t="s">
        <v>2</v>
      </c>
      <c r="B659" s="2" t="str">
        <f>"Aparat EEG"</f>
        <v>Aparat EEG</v>
      </c>
      <c r="C659" s="2" t="str">
        <f>"Digi Track typ DT-2004"</f>
        <v>Digi Track typ DT-2004</v>
      </c>
      <c r="D659" s="2" t="str">
        <f>"20410228"</f>
        <v>20410228</v>
      </c>
      <c r="E659" s="2" t="str">
        <f>"Oddz.Klin. Neonatologiczny z Oddz. ITN"</f>
        <v>Oddz.Klin. Neonatologiczny z Oddz. ITN</v>
      </c>
      <c r="F659" s="2">
        <v>2004</v>
      </c>
      <c r="G659" s="2" t="str">
        <f>"ELMIKO MEDICAL Sp. z o.o."</f>
        <v>ELMIKO MEDICAL Sp. z o.o.</v>
      </c>
      <c r="H659" s="2" t="str">
        <f>"12 mies."</f>
        <v>12 mies.</v>
      </c>
      <c r="I659" s="2" t="s">
        <v>286</v>
      </c>
    </row>
    <row r="660" spans="1:9" ht="51">
      <c r="A660" s="39" t="s">
        <v>3</v>
      </c>
      <c r="B660" s="2" t="str">
        <f>"Aparat EEG"</f>
        <v>Aparat EEG</v>
      </c>
      <c r="C660" s="2" t="str">
        <f>"Digi Track typ DT-2004"</f>
        <v>Digi Track typ DT-2004</v>
      </c>
      <c r="D660" s="2" t="str">
        <f>"20404206"</f>
        <v>20404206</v>
      </c>
      <c r="E660" s="2" t="str">
        <f>"Przykl. Porad. Neurologiczna"</f>
        <v>Przykl. Porad. Neurologiczna</v>
      </c>
      <c r="F660" s="2">
        <v>2004</v>
      </c>
      <c r="G660" s="2" t="str">
        <f>"ELMIKO MEDICAL Sp. z o.o."</f>
        <v>ELMIKO MEDICAL Sp. z o.o.</v>
      </c>
      <c r="H660" s="2" t="str">
        <f>"12 mies."</f>
        <v>12 mies.</v>
      </c>
      <c r="I660" s="2" t="s">
        <v>286</v>
      </c>
    </row>
    <row r="661" spans="1:9" ht="15">
      <c r="A661" s="36"/>
      <c r="B661" s="37"/>
      <c r="C661" s="37"/>
      <c r="D661" s="37"/>
      <c r="E661" s="37"/>
      <c r="F661" s="37"/>
      <c r="G661" s="37"/>
      <c r="H661" s="37"/>
      <c r="I661" s="37"/>
    </row>
    <row r="662" spans="1:9" ht="15">
      <c r="A662" s="36"/>
      <c r="B662" s="64" t="s">
        <v>114</v>
      </c>
      <c r="C662" s="64"/>
      <c r="D662" s="37"/>
      <c r="E662" s="37"/>
      <c r="F662" s="37"/>
      <c r="G662" s="64" t="s">
        <v>115</v>
      </c>
      <c r="H662" s="64"/>
      <c r="I662" s="64"/>
    </row>
    <row r="663" spans="1:9" ht="15">
      <c r="A663" s="36"/>
      <c r="B663" s="28"/>
      <c r="C663" s="28"/>
      <c r="D663" s="37"/>
      <c r="E663" s="37"/>
      <c r="F663" s="37"/>
      <c r="G663" s="28"/>
      <c r="H663" s="28"/>
      <c r="I663" s="28"/>
    </row>
    <row r="664" spans="1:9" ht="15">
      <c r="A664" s="36"/>
      <c r="B664" s="28"/>
      <c r="C664" s="28"/>
      <c r="D664" s="37"/>
      <c r="E664" s="37"/>
      <c r="F664" s="37"/>
      <c r="G664" s="28"/>
      <c r="H664" s="28"/>
      <c r="I664" s="28"/>
    </row>
    <row r="665" spans="1:9" ht="15">
      <c r="A665" s="36"/>
      <c r="B665" s="28"/>
      <c r="C665" s="28"/>
      <c r="D665" s="37"/>
      <c r="E665" s="37"/>
      <c r="F665" s="37"/>
      <c r="G665" s="28"/>
      <c r="H665" s="28"/>
      <c r="I665" s="28"/>
    </row>
    <row r="666" spans="1:9" ht="15">
      <c r="A666" s="36"/>
      <c r="B666" s="37"/>
      <c r="C666" s="37"/>
      <c r="D666" s="37"/>
      <c r="E666" s="37"/>
      <c r="F666" s="37"/>
      <c r="G666" s="37"/>
      <c r="H666" s="37"/>
      <c r="I666" s="37"/>
    </row>
    <row r="667" spans="1:9" ht="15">
      <c r="A667" s="66" t="s">
        <v>291</v>
      </c>
      <c r="B667" s="66"/>
      <c r="C667" s="66"/>
      <c r="D667" s="66"/>
      <c r="E667" s="66"/>
      <c r="F667" s="66"/>
      <c r="G667" s="66"/>
      <c r="H667" s="66"/>
      <c r="I667" s="66"/>
    </row>
    <row r="668" spans="1:9" ht="15">
      <c r="A668" s="36"/>
      <c r="B668" s="37"/>
      <c r="C668" s="37"/>
      <c r="D668" s="37"/>
      <c r="E668" s="37"/>
      <c r="F668" s="37"/>
      <c r="G668" s="37"/>
      <c r="H668" s="37"/>
      <c r="I668" s="37"/>
    </row>
    <row r="669" spans="1:9" ht="51">
      <c r="A669" s="38" t="s">
        <v>1</v>
      </c>
      <c r="B669" s="2" t="str">
        <f>"Nazwa urządzenia"</f>
        <v>Nazwa urządzenia</v>
      </c>
      <c r="C669" s="2" t="str">
        <f>"Typ"</f>
        <v>Typ</v>
      </c>
      <c r="D669" s="2" t="str">
        <f>"Nr Seryjny"</f>
        <v>Nr Seryjny</v>
      </c>
      <c r="E669" s="2" t="str">
        <f>"Jednostka Organizacyjna"</f>
        <v>Jednostka Organizacyjna</v>
      </c>
      <c r="F669" s="2" t="str">
        <f>"Rok Produkcji"</f>
        <v>Rok Produkcji</v>
      </c>
      <c r="G669" s="2" t="str">
        <f>"Producent"</f>
        <v>Producent</v>
      </c>
      <c r="H669" s="2" t="str">
        <f>"Częst. przeglądu"</f>
        <v>Częst. przeglądu</v>
      </c>
      <c r="I669" s="2" t="s">
        <v>117</v>
      </c>
    </row>
    <row r="670" spans="1:9" ht="38.25">
      <c r="A670" s="34" t="s">
        <v>2</v>
      </c>
      <c r="B670" s="2" t="str">
        <f>"Aparat EEG"</f>
        <v>Aparat EEG</v>
      </c>
      <c r="C670" s="2" t="str">
        <f>"NicoletOne nEEG  "</f>
        <v>NicoletOne nEEG  </v>
      </c>
      <c r="D670" s="2" t="str">
        <f>"OJ080547"</f>
        <v>OJ080547</v>
      </c>
      <c r="E670" s="2" t="str">
        <f>"Oddz. Klin. Neurologii, Udarowy"</f>
        <v>Oddz. Klin. Neurologii, Udarowy</v>
      </c>
      <c r="F670" s="2">
        <v>2007</v>
      </c>
      <c r="G670" s="2" t="str">
        <f>"Nicolet Biomedical Inc., USA"</f>
        <v>Nicolet Biomedical Inc., USA</v>
      </c>
      <c r="H670" s="2" t="str">
        <f>"12 mies."</f>
        <v>12 mies.</v>
      </c>
      <c r="I670" s="2" t="str">
        <f>"2019-03-12"</f>
        <v>2019-03-12</v>
      </c>
    </row>
    <row r="671" spans="1:9" ht="38.25">
      <c r="A671" s="34" t="s">
        <v>3</v>
      </c>
      <c r="B671" s="2" t="str">
        <f>"Aparat EEG"</f>
        <v>Aparat EEG</v>
      </c>
      <c r="C671" s="2" t="str">
        <f>"NicoletOne vEEG  "</f>
        <v>NicoletOne vEEG  </v>
      </c>
      <c r="D671" s="2" t="str">
        <f>"PN080371 "</f>
        <v>PN080371 </v>
      </c>
      <c r="E671" s="2" t="str">
        <f>"Oddz. Klin. Neurologii, Udarowy"</f>
        <v>Oddz. Klin. Neurologii, Udarowy</v>
      </c>
      <c r="F671" s="2">
        <v>2007</v>
      </c>
      <c r="G671" s="2" t="str">
        <f>"Nicolet Biomedical Inc., USA"</f>
        <v>Nicolet Biomedical Inc., USA</v>
      </c>
      <c r="H671" s="2" t="str">
        <f>"12 mies."</f>
        <v>12 mies.</v>
      </c>
      <c r="I671" s="2" t="str">
        <f>"2019-03-12"</f>
        <v>2019-03-12</v>
      </c>
    </row>
    <row r="673" spans="2:9" ht="15">
      <c r="B673" s="64" t="s">
        <v>114</v>
      </c>
      <c r="C673" s="64"/>
      <c r="G673" s="64" t="s">
        <v>115</v>
      </c>
      <c r="H673" s="64"/>
      <c r="I673" s="64"/>
    </row>
    <row r="678" spans="1:9" ht="28.5" customHeight="1">
      <c r="A678" s="65" t="s">
        <v>283</v>
      </c>
      <c r="B678" s="65"/>
      <c r="C678" s="65"/>
      <c r="D678" s="65"/>
      <c r="E678" s="65"/>
      <c r="F678" s="65"/>
      <c r="G678" s="65"/>
      <c r="H678" s="65"/>
      <c r="I678" s="65"/>
    </row>
    <row r="680" spans="1:9" ht="51">
      <c r="A680" s="38" t="s">
        <v>1</v>
      </c>
      <c r="B680" s="2" t="str">
        <f>"Nazwa urządzenia"</f>
        <v>Nazwa urządzenia</v>
      </c>
      <c r="C680" s="2" t="str">
        <f>"Typ"</f>
        <v>Typ</v>
      </c>
      <c r="D680" s="2" t="str">
        <f>"Nr Seryjny"</f>
        <v>Nr Seryjny</v>
      </c>
      <c r="E680" s="2" t="str">
        <f>"Jednostka Organizacyjna"</f>
        <v>Jednostka Organizacyjna</v>
      </c>
      <c r="F680" s="2" t="str">
        <f>"Rok Produkcji"</f>
        <v>Rok Produkcji</v>
      </c>
      <c r="G680" s="2" t="str">
        <f>"Producent"</f>
        <v>Producent</v>
      </c>
      <c r="H680" s="2" t="str">
        <f>"Częst. przeglądu"</f>
        <v>Częst. przeglądu</v>
      </c>
      <c r="I680" s="2" t="s">
        <v>117</v>
      </c>
    </row>
    <row r="681" spans="1:9" ht="51">
      <c r="A681" s="34" t="s">
        <v>2</v>
      </c>
      <c r="B681" s="2" t="str">
        <f>"Zestaw do badań izokinetycznych"</f>
        <v>Zestaw do badań izokinetycznych</v>
      </c>
      <c r="C681" s="2" t="str">
        <f>"835-210"</f>
        <v>835-210</v>
      </c>
      <c r="D681" s="2" t="str">
        <f>"SN: 12002684 "</f>
        <v>SN: 12002684 </v>
      </c>
      <c r="E681" s="2" t="s">
        <v>0</v>
      </c>
      <c r="F681" s="2">
        <v>2008</v>
      </c>
      <c r="G681" s="2" t="str">
        <f>"Biodex Medical (USA)"</f>
        <v>Biodex Medical (USA)</v>
      </c>
      <c r="H681" s="2" t="str">
        <f>"12 mies."</f>
        <v>12 mies.</v>
      </c>
      <c r="I681" s="2" t="s">
        <v>286</v>
      </c>
    </row>
    <row r="682" spans="1:9" ht="51">
      <c r="A682" s="34" t="s">
        <v>3</v>
      </c>
      <c r="B682" s="2" t="s">
        <v>297</v>
      </c>
      <c r="C682" s="2" t="s">
        <v>298</v>
      </c>
      <c r="D682" s="2">
        <v>9081389</v>
      </c>
      <c r="E682" s="2" t="s">
        <v>299</v>
      </c>
      <c r="F682" s="2">
        <v>2010</v>
      </c>
      <c r="G682" s="2" t="str">
        <f>"Biodex Medical (USA)"</f>
        <v>Biodex Medical (USA)</v>
      </c>
      <c r="H682" s="2" t="str">
        <f>"12 mies."</f>
        <v>12 mies.</v>
      </c>
      <c r="I682" s="2" t="s">
        <v>286</v>
      </c>
    </row>
    <row r="683" spans="1:9" ht="38.25">
      <c r="A683" s="34" t="s">
        <v>4</v>
      </c>
      <c r="B683" s="2" t="s">
        <v>300</v>
      </c>
      <c r="C683" s="2" t="s">
        <v>301</v>
      </c>
      <c r="D683" s="2">
        <v>1002718</v>
      </c>
      <c r="E683" s="2" t="s">
        <v>299</v>
      </c>
      <c r="F683" s="2">
        <v>2010</v>
      </c>
      <c r="G683" s="2" t="str">
        <f>"Biodex Medical (USA)"</f>
        <v>Biodex Medical (USA)</v>
      </c>
      <c r="H683" s="2" t="str">
        <f>"12 mies."</f>
        <v>12 mies.</v>
      </c>
      <c r="I683" s="40">
        <v>43571</v>
      </c>
    </row>
    <row r="685" spans="2:9" ht="15">
      <c r="B685" s="64" t="s">
        <v>114</v>
      </c>
      <c r="C685" s="64"/>
      <c r="G685" s="64" t="s">
        <v>115</v>
      </c>
      <c r="H685" s="64"/>
      <c r="I685" s="64"/>
    </row>
    <row r="689" spans="1:9" ht="15" customHeight="1">
      <c r="A689" s="65" t="s">
        <v>284</v>
      </c>
      <c r="B689" s="65"/>
      <c r="C689" s="65"/>
      <c r="D689" s="65"/>
      <c r="E689" s="65"/>
      <c r="F689" s="65"/>
      <c r="G689" s="65"/>
      <c r="H689" s="65"/>
      <c r="I689" s="65"/>
    </row>
    <row r="690" spans="1:9" ht="15">
      <c r="A690" s="25"/>
      <c r="B690" s="25"/>
      <c r="C690" s="25"/>
      <c r="D690" s="25"/>
      <c r="E690" s="25"/>
      <c r="F690" s="25"/>
      <c r="G690" s="25"/>
      <c r="H690" s="25"/>
      <c r="I690" s="25"/>
    </row>
    <row r="691" spans="1:9" ht="51">
      <c r="A691" s="38" t="s">
        <v>1</v>
      </c>
      <c r="B691" s="2" t="str">
        <f>"Nazwa urządzenia"</f>
        <v>Nazwa urządzenia</v>
      </c>
      <c r="C691" s="2" t="str">
        <f>"Typ"</f>
        <v>Typ</v>
      </c>
      <c r="D691" s="2" t="str">
        <f>"Nr Seryjny"</f>
        <v>Nr Seryjny</v>
      </c>
      <c r="E691" s="2" t="str">
        <f>"Jednostka Organizacyjna"</f>
        <v>Jednostka Organizacyjna</v>
      </c>
      <c r="F691" s="2" t="str">
        <f>"Rok Produkcji"</f>
        <v>Rok Produkcji</v>
      </c>
      <c r="G691" s="2" t="str">
        <f>"Producent"</f>
        <v>Producent</v>
      </c>
      <c r="H691" s="2" t="str">
        <f>"Częst. przeglądu"</f>
        <v>Częst. przeglądu</v>
      </c>
      <c r="I691" s="2" t="s">
        <v>117</v>
      </c>
    </row>
    <row r="692" spans="1:9" ht="51">
      <c r="A692" s="34" t="s">
        <v>2</v>
      </c>
      <c r="B692" s="2" t="str">
        <f>"Wstrzykiwacz kontrastu"</f>
        <v>Wstrzykiwacz kontrastu</v>
      </c>
      <c r="C692" s="2" t="str">
        <f>"Angiomat Illumena "</f>
        <v>Angiomat Illumena </v>
      </c>
      <c r="D692" s="2" t="str">
        <f>"CI0810C013"</f>
        <v>CI0810C013</v>
      </c>
      <c r="E692" s="2" t="str">
        <f>"Blok Op. Chirurgii Naczyniowej"</f>
        <v>Blok Op. Chirurgii Naczyniowej</v>
      </c>
      <c r="F692" s="2">
        <v>2010</v>
      </c>
      <c r="G692" s="2" t="str">
        <f>"Liebel-flarsheim"</f>
        <v>Liebel-flarsheim</v>
      </c>
      <c r="H692" s="2" t="str">
        <f>"12 mies."</f>
        <v>12 mies.</v>
      </c>
      <c r="I692" s="2" t="s">
        <v>286</v>
      </c>
    </row>
    <row r="693" spans="1:9" ht="51">
      <c r="A693" s="34" t="s">
        <v>3</v>
      </c>
      <c r="B693" s="2" t="str">
        <f>"Wstrzykiwacz kontrastu"</f>
        <v>Wstrzykiwacz kontrastu</v>
      </c>
      <c r="C693" s="2" t="str">
        <f>"Angiomat Illumena "</f>
        <v>Angiomat Illumena </v>
      </c>
      <c r="D693" s="2" t="str">
        <f>"CI0209C063 "</f>
        <v>CI0209C063 </v>
      </c>
      <c r="E693" s="2" t="str">
        <f>"Ponadreg. Centrum Chir. Endowaskularnej"</f>
        <v>Ponadreg. Centrum Chir. Endowaskularnej</v>
      </c>
      <c r="F693" s="2">
        <v>2010</v>
      </c>
      <c r="G693" s="2" t="str">
        <f>"Liebel-flarsheim"</f>
        <v>Liebel-flarsheim</v>
      </c>
      <c r="H693" s="2" t="str">
        <f>"12 mies."</f>
        <v>12 mies.</v>
      </c>
      <c r="I693" s="2" t="s">
        <v>286</v>
      </c>
    </row>
    <row r="695" spans="2:9" ht="15">
      <c r="B695" s="64" t="s">
        <v>114</v>
      </c>
      <c r="C695" s="64"/>
      <c r="G695" s="64" t="s">
        <v>115</v>
      </c>
      <c r="H695" s="64"/>
      <c r="I695" s="64"/>
    </row>
    <row r="700" spans="1:9" ht="15">
      <c r="A700" s="65" t="s">
        <v>285</v>
      </c>
      <c r="B700" s="65"/>
      <c r="C700" s="65"/>
      <c r="D700" s="65"/>
      <c r="E700" s="65"/>
      <c r="F700" s="65"/>
      <c r="G700" s="65"/>
      <c r="H700" s="65"/>
      <c r="I700" s="65"/>
    </row>
    <row r="702" spans="1:9" ht="51">
      <c r="A702" s="38" t="s">
        <v>1</v>
      </c>
      <c r="B702" s="2" t="str">
        <f>"Nazwa urządzenia"</f>
        <v>Nazwa urządzenia</v>
      </c>
      <c r="C702" s="2" t="str">
        <f>"Typ"</f>
        <v>Typ</v>
      </c>
      <c r="D702" s="2" t="str">
        <f>"Nr Seryjny"</f>
        <v>Nr Seryjny</v>
      </c>
      <c r="E702" s="2" t="str">
        <f>"Jednostka Organizacyjna"</f>
        <v>Jednostka Organizacyjna</v>
      </c>
      <c r="F702" s="2" t="str">
        <f>"Rok Produkcji"</f>
        <v>Rok Produkcji</v>
      </c>
      <c r="G702" s="2" t="str">
        <f>"Producent"</f>
        <v>Producent</v>
      </c>
      <c r="H702" s="2" t="str">
        <f>"Częst. przeglądu"</f>
        <v>Częst. przeglądu</v>
      </c>
      <c r="I702" s="2" t="s">
        <v>117</v>
      </c>
    </row>
    <row r="703" spans="1:9" ht="38.25">
      <c r="A703" s="34" t="s">
        <v>2</v>
      </c>
      <c r="B703" s="2" t="str">
        <f>"Wstrzykiwacz kontrastu"</f>
        <v>Wstrzykiwacz kontrastu</v>
      </c>
      <c r="C703" s="2" t="str">
        <f>"CT Express 4D"</f>
        <v>CT Express 4D</v>
      </c>
      <c r="D703" s="2" t="str">
        <f>"R0013088-1014"</f>
        <v>R0013088-1014</v>
      </c>
      <c r="E703" s="2" t="str">
        <f>"Pracownia Tomografii Komputerowej"</f>
        <v>Pracownia Tomografii Komputerowej</v>
      </c>
      <c r="F703" s="2">
        <v>2014</v>
      </c>
      <c r="G703" s="2" t="str">
        <f>"Bracco Injeneering"</f>
        <v>Bracco Injeneering</v>
      </c>
      <c r="H703" s="2" t="str">
        <f>"12 mies."</f>
        <v>12 mies.</v>
      </c>
      <c r="I703" s="40">
        <v>43574</v>
      </c>
    </row>
    <row r="704" spans="1:9" ht="38.25">
      <c r="A704" s="34" t="s">
        <v>3</v>
      </c>
      <c r="B704" s="2" t="str">
        <f>"Wstrzykiwacz kontrastu"</f>
        <v>Wstrzykiwacz kontrastu</v>
      </c>
      <c r="C704" s="2" t="str">
        <f>"CT Express 4D"</f>
        <v>CT Express 4D</v>
      </c>
      <c r="D704" s="2" t="str">
        <f>"R0013087-1014"</f>
        <v>R0013087-1014</v>
      </c>
      <c r="E704" s="2" t="str">
        <f>"Pracownia Tomografii Komputerowej"</f>
        <v>Pracownia Tomografii Komputerowej</v>
      </c>
      <c r="F704" s="2">
        <v>2014</v>
      </c>
      <c r="G704" s="2" t="str">
        <f>"Bracco Injeneering"</f>
        <v>Bracco Injeneering</v>
      </c>
      <c r="H704" s="2" t="str">
        <f>"12 mies."</f>
        <v>12 mies.</v>
      </c>
      <c r="I704" s="40">
        <v>43574</v>
      </c>
    </row>
    <row r="706" spans="2:9" ht="15">
      <c r="B706" s="64" t="s">
        <v>114</v>
      </c>
      <c r="C706" s="64"/>
      <c r="G706" s="64" t="s">
        <v>115</v>
      </c>
      <c r="H706" s="64"/>
      <c r="I706" s="64"/>
    </row>
    <row r="707" spans="2:9" ht="15">
      <c r="B707" s="28"/>
      <c r="C707" s="28"/>
      <c r="G707" s="28"/>
      <c r="H707" s="28"/>
      <c r="I707" s="28"/>
    </row>
    <row r="708" spans="2:9" ht="15">
      <c r="B708" s="28"/>
      <c r="C708" s="28"/>
      <c r="G708" s="28"/>
      <c r="H708" s="28"/>
      <c r="I708" s="28"/>
    </row>
    <row r="709" spans="2:9" ht="15">
      <c r="B709" s="28"/>
      <c r="C709" s="28"/>
      <c r="G709" s="28"/>
      <c r="H709" s="28"/>
      <c r="I709" s="28"/>
    </row>
    <row r="710" ht="15" customHeight="1"/>
    <row r="711" spans="1:9" ht="15">
      <c r="A711" s="65" t="s">
        <v>292</v>
      </c>
      <c r="B711" s="65"/>
      <c r="C711" s="65"/>
      <c r="D711" s="65"/>
      <c r="E711" s="65"/>
      <c r="F711" s="65"/>
      <c r="G711" s="65"/>
      <c r="H711" s="65"/>
      <c r="I711" s="65"/>
    </row>
    <row r="713" spans="1:9" ht="51">
      <c r="A713" s="38" t="s">
        <v>1</v>
      </c>
      <c r="B713" s="2" t="str">
        <f>"Nazwa urządzenia"</f>
        <v>Nazwa urządzenia</v>
      </c>
      <c r="C713" s="2" t="str">
        <f>"Typ"</f>
        <v>Typ</v>
      </c>
      <c r="D713" s="2" t="str">
        <f>"Nr Seryjny"</f>
        <v>Nr Seryjny</v>
      </c>
      <c r="E713" s="2" t="str">
        <f>"Jednostka Organizacyjna"</f>
        <v>Jednostka Organizacyjna</v>
      </c>
      <c r="F713" s="2" t="str">
        <f>"Rok Produkcji"</f>
        <v>Rok Produkcji</v>
      </c>
      <c r="G713" s="2" t="str">
        <f>"Producent"</f>
        <v>Producent</v>
      </c>
      <c r="H713" s="2" t="str">
        <f>"Częst. przeglądu"</f>
        <v>Częst. przeglądu</v>
      </c>
      <c r="I713" s="2" t="s">
        <v>117</v>
      </c>
    </row>
    <row r="714" spans="1:9" ht="51">
      <c r="A714" s="34" t="s">
        <v>2</v>
      </c>
      <c r="B714" s="2" t="str">
        <f aca="true" t="shared" si="48" ref="B714:B719">"Wstrzykiwacz kontrastu"</f>
        <v>Wstrzykiwacz kontrastu</v>
      </c>
      <c r="C714" s="2" t="str">
        <f>"MARK V PROVIS"</f>
        <v>MARK V PROVIS</v>
      </c>
      <c r="D714" s="2" t="str">
        <f>"100118 (PL1672IN02)"</f>
        <v>100118 (PL1672IN02)</v>
      </c>
      <c r="E714" s="2" t="str">
        <f>"Pracownia Hemodynamiki"</f>
        <v>Pracownia Hemodynamiki</v>
      </c>
      <c r="F714" s="2">
        <v>2003</v>
      </c>
      <c r="G714" s="2" t="str">
        <f aca="true" t="shared" si="49" ref="G714:G719">"MEDRAD"</f>
        <v>MEDRAD</v>
      </c>
      <c r="H714" s="2" t="str">
        <f aca="true" t="shared" si="50" ref="H714:H719">"12 mies."</f>
        <v>12 mies.</v>
      </c>
      <c r="I714" s="2" t="s">
        <v>286</v>
      </c>
    </row>
    <row r="715" spans="1:9" ht="51">
      <c r="A715" s="34" t="s">
        <v>3</v>
      </c>
      <c r="B715" s="2" t="str">
        <f t="shared" si="48"/>
        <v>Wstrzykiwacz kontrastu</v>
      </c>
      <c r="C715" s="2" t="str">
        <f>"MARK V PROVIS"</f>
        <v>MARK V PROVIS</v>
      </c>
      <c r="D715" s="2" t="str">
        <f>"109486 (PL1672IN04)"</f>
        <v>109486 (PL1672IN04)</v>
      </c>
      <c r="E715" s="2" t="str">
        <f>"Pracownia Hemodynamiki"</f>
        <v>Pracownia Hemodynamiki</v>
      </c>
      <c r="F715" s="2">
        <v>2011</v>
      </c>
      <c r="G715" s="2" t="str">
        <f t="shared" si="49"/>
        <v>MEDRAD</v>
      </c>
      <c r="H715" s="2" t="str">
        <f t="shared" si="50"/>
        <v>12 mies.</v>
      </c>
      <c r="I715" s="2" t="s">
        <v>286</v>
      </c>
    </row>
    <row r="716" spans="1:9" ht="51">
      <c r="A716" s="34" t="s">
        <v>4</v>
      </c>
      <c r="B716" s="2" t="str">
        <f t="shared" si="48"/>
        <v>Wstrzykiwacz kontrastu</v>
      </c>
      <c r="C716" s="2" t="str">
        <f>"MARK V PROVIS"</f>
        <v>MARK V PROVIS</v>
      </c>
      <c r="D716" s="2" t="str">
        <f>"104186 "</f>
        <v>104186 </v>
      </c>
      <c r="E716" s="2" t="str">
        <f>"Pracownia Naczyniowa"</f>
        <v>Pracownia Naczyniowa</v>
      </c>
      <c r="F716" s="2">
        <v>2007</v>
      </c>
      <c r="G716" s="2" t="str">
        <f t="shared" si="49"/>
        <v>MEDRAD</v>
      </c>
      <c r="H716" s="2" t="str">
        <f t="shared" si="50"/>
        <v>12 mies.</v>
      </c>
      <c r="I716" s="2" t="s">
        <v>286</v>
      </c>
    </row>
    <row r="717" spans="1:9" ht="51">
      <c r="A717" s="34" t="s">
        <v>5</v>
      </c>
      <c r="B717" s="2" t="str">
        <f t="shared" si="48"/>
        <v>Wstrzykiwacz kontrastu</v>
      </c>
      <c r="C717" s="2" t="str">
        <f>"Spectris Solaris EP MR"</f>
        <v>Spectris Solaris EP MR</v>
      </c>
      <c r="D717" s="2" t="str">
        <f>"41986 (PL1672IN01)"</f>
        <v>41986 (PL1672IN01)</v>
      </c>
      <c r="E717" s="2" t="str">
        <f>"Pracownia Rezonansu Magnetycznego"</f>
        <v>Pracownia Rezonansu Magnetycznego</v>
      </c>
      <c r="F717" s="2">
        <v>2007</v>
      </c>
      <c r="G717" s="2" t="str">
        <f t="shared" si="49"/>
        <v>MEDRAD</v>
      </c>
      <c r="H717" s="2" t="str">
        <f t="shared" si="50"/>
        <v>12 mies.</v>
      </c>
      <c r="I717" s="2" t="s">
        <v>286</v>
      </c>
    </row>
    <row r="718" spans="1:9" ht="51">
      <c r="A718" s="34" t="s">
        <v>6</v>
      </c>
      <c r="B718" s="2" t="str">
        <f t="shared" si="48"/>
        <v>Wstrzykiwacz kontrastu</v>
      </c>
      <c r="C718" s="2" t="str">
        <f>"Stellant CT"</f>
        <v>Stellant CT</v>
      </c>
      <c r="D718" s="2" t="str">
        <f>"25792 (PL1672IN03)"</f>
        <v>25792 (PL1672IN03)</v>
      </c>
      <c r="E718" s="2" t="str">
        <f>"Pracownia Tomografii Komputerowej"</f>
        <v>Pracownia Tomografii Komputerowej</v>
      </c>
      <c r="F718" s="2">
        <v>2007</v>
      </c>
      <c r="G718" s="2" t="str">
        <f t="shared" si="49"/>
        <v>MEDRAD</v>
      </c>
      <c r="H718" s="2" t="str">
        <f t="shared" si="50"/>
        <v>12 mies.</v>
      </c>
      <c r="I718" s="2" t="s">
        <v>286</v>
      </c>
    </row>
    <row r="719" spans="1:9" ht="51">
      <c r="A719" s="34" t="s">
        <v>7</v>
      </c>
      <c r="B719" s="2" t="str">
        <f t="shared" si="48"/>
        <v>Wstrzykiwacz kontrastu</v>
      </c>
      <c r="C719" s="2" t="str">
        <f>"Stellant CT"</f>
        <v>Stellant CT</v>
      </c>
      <c r="D719" s="2" t="str">
        <f>"34498 "</f>
        <v>34498 </v>
      </c>
      <c r="E719" s="2" t="str">
        <f>"Pracownia Tomografii Komputerowej"</f>
        <v>Pracownia Tomografii Komputerowej</v>
      </c>
      <c r="F719" s="2">
        <v>2010</v>
      </c>
      <c r="G719" s="2" t="str">
        <f t="shared" si="49"/>
        <v>MEDRAD</v>
      </c>
      <c r="H719" s="2" t="str">
        <f t="shared" si="50"/>
        <v>12 mies.</v>
      </c>
      <c r="I719" s="2" t="s">
        <v>286</v>
      </c>
    </row>
    <row r="721" spans="2:9" ht="15">
      <c r="B721" s="64" t="s">
        <v>114</v>
      </c>
      <c r="C721" s="64"/>
      <c r="G721" s="64" t="s">
        <v>115</v>
      </c>
      <c r="H721" s="64"/>
      <c r="I721" s="64"/>
    </row>
    <row r="726" spans="1:9" ht="15">
      <c r="A726" s="65" t="s">
        <v>293</v>
      </c>
      <c r="B726" s="65"/>
      <c r="C726" s="65"/>
      <c r="D726" s="65"/>
      <c r="E726" s="65"/>
      <c r="F726" s="65"/>
      <c r="G726" s="65"/>
      <c r="H726" s="65"/>
      <c r="I726" s="65"/>
    </row>
    <row r="728" spans="1:9" ht="48">
      <c r="A728" s="42" t="s">
        <v>1</v>
      </c>
      <c r="B728" s="43" t="str">
        <f>"Nazwa urządzenia"</f>
        <v>Nazwa urządzenia</v>
      </c>
      <c r="C728" s="43" t="str">
        <f>"Typ"</f>
        <v>Typ</v>
      </c>
      <c r="D728" s="43" t="str">
        <f>"Nr Seryjny"</f>
        <v>Nr Seryjny</v>
      </c>
      <c r="E728" s="43" t="str">
        <f>"Jednostka Organizacyjna"</f>
        <v>Jednostka Organizacyjna</v>
      </c>
      <c r="F728" s="43" t="str">
        <f>"Rok Produkcji"</f>
        <v>Rok Produkcji</v>
      </c>
      <c r="G728" s="43" t="str">
        <f>"Producent"</f>
        <v>Producent</v>
      </c>
      <c r="H728" s="43" t="str">
        <f>"Częst. przeglądu"</f>
        <v>Częst. przeglądu</v>
      </c>
      <c r="I728" s="43" t="s">
        <v>117</v>
      </c>
    </row>
    <row r="729" spans="1:9" ht="36">
      <c r="A729" s="48" t="s">
        <v>2</v>
      </c>
      <c r="B729" s="43" t="str">
        <f aca="true" t="shared" si="51" ref="B729:B766">"Fotel do dializ"</f>
        <v>Fotel do dializ</v>
      </c>
      <c r="C729" s="43" t="str">
        <f>"Comfort 4 Style"</f>
        <v>Comfort 4 Style</v>
      </c>
      <c r="D729" s="43" t="str">
        <f>"C4W45110129 "</f>
        <v>C4W45110129 </v>
      </c>
      <c r="E729" s="43" t="str">
        <f>"Stacja Dializ Pediatryczna"</f>
        <v>Stacja Dializ Pediatryczna</v>
      </c>
      <c r="F729" s="43">
        <v>2011</v>
      </c>
      <c r="G729" s="43" t="str">
        <f>"Digiterm Medical Equipment"</f>
        <v>Digiterm Medical Equipment</v>
      </c>
      <c r="H729" s="2" t="str">
        <f>"12 mies."</f>
        <v>12 mies.</v>
      </c>
      <c r="I729" s="49">
        <v>43377</v>
      </c>
    </row>
    <row r="730" spans="1:9" ht="15">
      <c r="A730" s="45"/>
      <c r="B730" s="46"/>
      <c r="C730" s="46"/>
      <c r="D730" s="46"/>
      <c r="E730" s="46"/>
      <c r="F730" s="46"/>
      <c r="G730" s="46"/>
      <c r="H730" s="46"/>
      <c r="I730" s="46"/>
    </row>
    <row r="731" spans="2:9" ht="15">
      <c r="B731" s="64" t="s">
        <v>114</v>
      </c>
      <c r="C731" s="64"/>
      <c r="G731" s="64" t="s">
        <v>115</v>
      </c>
      <c r="H731" s="64"/>
      <c r="I731" s="64"/>
    </row>
    <row r="732" spans="2:9" ht="15">
      <c r="B732" s="28"/>
      <c r="C732" s="28"/>
      <c r="G732" s="28"/>
      <c r="H732" s="28"/>
      <c r="I732" s="28"/>
    </row>
    <row r="733" spans="2:9" ht="15">
      <c r="B733" s="28"/>
      <c r="C733" s="28"/>
      <c r="G733" s="28"/>
      <c r="H733" s="28"/>
      <c r="I733" s="28"/>
    </row>
    <row r="734" spans="2:9" ht="15">
      <c r="B734" s="28"/>
      <c r="C734" s="28"/>
      <c r="G734" s="28"/>
      <c r="H734" s="28"/>
      <c r="I734" s="28"/>
    </row>
    <row r="735" spans="2:9" ht="15">
      <c r="B735" s="28"/>
      <c r="C735" s="28"/>
      <c r="G735" s="28"/>
      <c r="H735" s="28"/>
      <c r="I735" s="28"/>
    </row>
    <row r="736" spans="1:9" ht="15">
      <c r="A736" s="65" t="s">
        <v>294</v>
      </c>
      <c r="B736" s="65"/>
      <c r="C736" s="65"/>
      <c r="D736" s="65"/>
      <c r="E736" s="65"/>
      <c r="F736" s="65"/>
      <c r="G736" s="65"/>
      <c r="H736" s="65"/>
      <c r="I736" s="65"/>
    </row>
    <row r="737" spans="1:9" ht="15">
      <c r="A737" s="45"/>
      <c r="B737" s="46"/>
      <c r="C737" s="46"/>
      <c r="D737" s="46"/>
      <c r="E737" s="46"/>
      <c r="F737" s="46"/>
      <c r="G737" s="46"/>
      <c r="H737" s="46"/>
      <c r="I737" s="46"/>
    </row>
    <row r="738" spans="1:9" ht="48">
      <c r="A738" s="42" t="s">
        <v>1</v>
      </c>
      <c r="B738" s="43" t="str">
        <f>"Nazwa urządzenia"</f>
        <v>Nazwa urządzenia</v>
      </c>
      <c r="C738" s="43" t="str">
        <f>"Typ"</f>
        <v>Typ</v>
      </c>
      <c r="D738" s="43" t="str">
        <f>"Nr Seryjny"</f>
        <v>Nr Seryjny</v>
      </c>
      <c r="E738" s="43" t="str">
        <f>"Jednostka Organizacyjna"</f>
        <v>Jednostka Organizacyjna</v>
      </c>
      <c r="F738" s="43" t="str">
        <f>"Rok Produkcji"</f>
        <v>Rok Produkcji</v>
      </c>
      <c r="G738" s="43" t="str">
        <f>"Producent"</f>
        <v>Producent</v>
      </c>
      <c r="H738" s="43" t="str">
        <f>"Częst. przeglądu"</f>
        <v>Częst. przeglądu</v>
      </c>
      <c r="I738" s="43" t="s">
        <v>117</v>
      </c>
    </row>
    <row r="739" spans="1:9" ht="24">
      <c r="A739" s="44" t="s">
        <v>2</v>
      </c>
      <c r="B739" s="43" t="str">
        <f t="shared" si="51"/>
        <v>Fotel do dializ</v>
      </c>
      <c r="C739" s="43" t="str">
        <f aca="true" t="shared" si="52" ref="C739:C766">"TT-005"</f>
        <v>TT-005</v>
      </c>
      <c r="D739" s="43" t="str">
        <f>"3812 "</f>
        <v>3812 </v>
      </c>
      <c r="E739" s="43" t="str">
        <f>"Dział Diagnostyki Endoskopowej"</f>
        <v>Dział Diagnostyki Endoskopowej</v>
      </c>
      <c r="F739" s="43">
        <v>2011</v>
      </c>
      <c r="G739" s="43" t="str">
        <f aca="true" t="shared" si="53" ref="G739:G766">"Hemotion"</f>
        <v>Hemotion</v>
      </c>
      <c r="H739" s="2" t="str">
        <f aca="true" t="shared" si="54" ref="H739:H766">"12 mies."</f>
        <v>12 mies.</v>
      </c>
      <c r="I739" s="49">
        <v>43376</v>
      </c>
    </row>
    <row r="740" spans="1:9" ht="24">
      <c r="A740" s="44" t="s">
        <v>3</v>
      </c>
      <c r="B740" s="43" t="str">
        <f t="shared" si="51"/>
        <v>Fotel do dializ</v>
      </c>
      <c r="C740" s="43" t="str">
        <f t="shared" si="52"/>
        <v>TT-005</v>
      </c>
      <c r="D740" s="43" t="str">
        <f>"3795 "</f>
        <v>3795 </v>
      </c>
      <c r="E740" s="43" t="str">
        <f>"Oddz. Klin. Okulistyczny"</f>
        <v>Oddz. Klin. Okulistyczny</v>
      </c>
      <c r="F740" s="43">
        <v>2011</v>
      </c>
      <c r="G740" s="43" t="str">
        <f t="shared" si="53"/>
        <v>Hemotion</v>
      </c>
      <c r="H740" s="2" t="str">
        <f t="shared" si="54"/>
        <v>12 mies.</v>
      </c>
      <c r="I740" s="49">
        <v>43376</v>
      </c>
    </row>
    <row r="741" spans="1:9" ht="15">
      <c r="A741" s="44" t="s">
        <v>4</v>
      </c>
      <c r="B741" s="43" t="str">
        <f t="shared" si="51"/>
        <v>Fotel do dializ</v>
      </c>
      <c r="C741" s="43" t="str">
        <f t="shared" si="52"/>
        <v>TT-005</v>
      </c>
      <c r="D741" s="43" t="str">
        <f>"3794 "</f>
        <v>3794 </v>
      </c>
      <c r="E741" s="43" t="str">
        <f aca="true" t="shared" si="55" ref="E741:E761">"Stacja Dializ"</f>
        <v>Stacja Dializ</v>
      </c>
      <c r="F741" s="43">
        <v>2011</v>
      </c>
      <c r="G741" s="43" t="str">
        <f t="shared" si="53"/>
        <v>Hemotion</v>
      </c>
      <c r="H741" s="2" t="str">
        <f t="shared" si="54"/>
        <v>12 mies.</v>
      </c>
      <c r="I741" s="49">
        <v>43376</v>
      </c>
    </row>
    <row r="742" spans="1:9" ht="15">
      <c r="A742" s="44" t="s">
        <v>5</v>
      </c>
      <c r="B742" s="43" t="str">
        <f t="shared" si="51"/>
        <v>Fotel do dializ</v>
      </c>
      <c r="C742" s="43" t="str">
        <f t="shared" si="52"/>
        <v>TT-005</v>
      </c>
      <c r="D742" s="43" t="str">
        <f>"3797 "</f>
        <v>3797 </v>
      </c>
      <c r="E742" s="43" t="str">
        <f t="shared" si="55"/>
        <v>Stacja Dializ</v>
      </c>
      <c r="F742" s="43">
        <v>2011</v>
      </c>
      <c r="G742" s="43" t="str">
        <f t="shared" si="53"/>
        <v>Hemotion</v>
      </c>
      <c r="H742" s="2" t="str">
        <f t="shared" si="54"/>
        <v>12 mies.</v>
      </c>
      <c r="I742" s="49">
        <v>43376</v>
      </c>
    </row>
    <row r="743" spans="1:9" ht="15">
      <c r="A743" s="44" t="s">
        <v>6</v>
      </c>
      <c r="B743" s="43" t="str">
        <f t="shared" si="51"/>
        <v>Fotel do dializ</v>
      </c>
      <c r="C743" s="43" t="str">
        <f t="shared" si="52"/>
        <v>TT-005</v>
      </c>
      <c r="D743" s="43" t="str">
        <f>"3799 "</f>
        <v>3799 </v>
      </c>
      <c r="E743" s="43" t="str">
        <f t="shared" si="55"/>
        <v>Stacja Dializ</v>
      </c>
      <c r="F743" s="43">
        <v>2011</v>
      </c>
      <c r="G743" s="43" t="str">
        <f t="shared" si="53"/>
        <v>Hemotion</v>
      </c>
      <c r="H743" s="2" t="str">
        <f t="shared" si="54"/>
        <v>12 mies.</v>
      </c>
      <c r="I743" s="49">
        <v>43376</v>
      </c>
    </row>
    <row r="744" spans="1:9" ht="15">
      <c r="A744" s="44" t="s">
        <v>7</v>
      </c>
      <c r="B744" s="43" t="str">
        <f t="shared" si="51"/>
        <v>Fotel do dializ</v>
      </c>
      <c r="C744" s="43" t="str">
        <f t="shared" si="52"/>
        <v>TT-005</v>
      </c>
      <c r="D744" s="43" t="str">
        <f>"3800 "</f>
        <v>3800 </v>
      </c>
      <c r="E744" s="43" t="str">
        <f t="shared" si="55"/>
        <v>Stacja Dializ</v>
      </c>
      <c r="F744" s="43">
        <v>2011</v>
      </c>
      <c r="G744" s="43" t="str">
        <f t="shared" si="53"/>
        <v>Hemotion</v>
      </c>
      <c r="H744" s="2" t="str">
        <f t="shared" si="54"/>
        <v>12 mies.</v>
      </c>
      <c r="I744" s="49">
        <v>43376</v>
      </c>
    </row>
    <row r="745" spans="1:9" ht="15">
      <c r="A745" s="44" t="s">
        <v>8</v>
      </c>
      <c r="B745" s="43" t="str">
        <f t="shared" si="51"/>
        <v>Fotel do dializ</v>
      </c>
      <c r="C745" s="43" t="str">
        <f t="shared" si="52"/>
        <v>TT-005</v>
      </c>
      <c r="D745" s="43" t="str">
        <f>"3801 "</f>
        <v>3801 </v>
      </c>
      <c r="E745" s="43" t="str">
        <f t="shared" si="55"/>
        <v>Stacja Dializ</v>
      </c>
      <c r="F745" s="43">
        <v>2011</v>
      </c>
      <c r="G745" s="43" t="str">
        <f t="shared" si="53"/>
        <v>Hemotion</v>
      </c>
      <c r="H745" s="2" t="str">
        <f t="shared" si="54"/>
        <v>12 mies.</v>
      </c>
      <c r="I745" s="49">
        <v>43376</v>
      </c>
    </row>
    <row r="746" spans="1:9" ht="15">
      <c r="A746" s="44" t="s">
        <v>9</v>
      </c>
      <c r="B746" s="43" t="str">
        <f t="shared" si="51"/>
        <v>Fotel do dializ</v>
      </c>
      <c r="C746" s="43" t="str">
        <f t="shared" si="52"/>
        <v>TT-005</v>
      </c>
      <c r="D746" s="43" t="str">
        <f>"3802 "</f>
        <v>3802 </v>
      </c>
      <c r="E746" s="43" t="str">
        <f t="shared" si="55"/>
        <v>Stacja Dializ</v>
      </c>
      <c r="F746" s="43">
        <v>2011</v>
      </c>
      <c r="G746" s="43" t="str">
        <f t="shared" si="53"/>
        <v>Hemotion</v>
      </c>
      <c r="H746" s="2" t="str">
        <f t="shared" si="54"/>
        <v>12 mies.</v>
      </c>
      <c r="I746" s="49">
        <v>43376</v>
      </c>
    </row>
    <row r="747" spans="1:9" ht="15">
      <c r="A747" s="44" t="s">
        <v>10</v>
      </c>
      <c r="B747" s="43" t="str">
        <f t="shared" si="51"/>
        <v>Fotel do dializ</v>
      </c>
      <c r="C747" s="43" t="str">
        <f t="shared" si="52"/>
        <v>TT-005</v>
      </c>
      <c r="D747" s="43" t="str">
        <f>"3803 "</f>
        <v>3803 </v>
      </c>
      <c r="E747" s="43" t="str">
        <f t="shared" si="55"/>
        <v>Stacja Dializ</v>
      </c>
      <c r="F747" s="43">
        <v>2011</v>
      </c>
      <c r="G747" s="43" t="str">
        <f t="shared" si="53"/>
        <v>Hemotion</v>
      </c>
      <c r="H747" s="2" t="str">
        <f t="shared" si="54"/>
        <v>12 mies.</v>
      </c>
      <c r="I747" s="49">
        <v>43376</v>
      </c>
    </row>
    <row r="748" spans="1:9" ht="15">
      <c r="A748" s="44" t="s">
        <v>11</v>
      </c>
      <c r="B748" s="43" t="str">
        <f t="shared" si="51"/>
        <v>Fotel do dializ</v>
      </c>
      <c r="C748" s="43" t="str">
        <f t="shared" si="52"/>
        <v>TT-005</v>
      </c>
      <c r="D748" s="43" t="str">
        <f>"3804 "</f>
        <v>3804 </v>
      </c>
      <c r="E748" s="43" t="str">
        <f t="shared" si="55"/>
        <v>Stacja Dializ</v>
      </c>
      <c r="F748" s="43">
        <v>2011</v>
      </c>
      <c r="G748" s="43" t="str">
        <f t="shared" si="53"/>
        <v>Hemotion</v>
      </c>
      <c r="H748" s="2" t="str">
        <f t="shared" si="54"/>
        <v>12 mies.</v>
      </c>
      <c r="I748" s="49">
        <v>43376</v>
      </c>
    </row>
    <row r="749" spans="1:9" ht="15">
      <c r="A749" s="44" t="s">
        <v>12</v>
      </c>
      <c r="B749" s="43" t="str">
        <f t="shared" si="51"/>
        <v>Fotel do dializ</v>
      </c>
      <c r="C749" s="43" t="str">
        <f t="shared" si="52"/>
        <v>TT-005</v>
      </c>
      <c r="D749" s="43" t="str">
        <f>"3807 "</f>
        <v>3807 </v>
      </c>
      <c r="E749" s="43" t="str">
        <f t="shared" si="55"/>
        <v>Stacja Dializ</v>
      </c>
      <c r="F749" s="43">
        <v>2011</v>
      </c>
      <c r="G749" s="43" t="str">
        <f t="shared" si="53"/>
        <v>Hemotion</v>
      </c>
      <c r="H749" s="2" t="str">
        <f t="shared" si="54"/>
        <v>12 mies.</v>
      </c>
      <c r="I749" s="49">
        <v>43376</v>
      </c>
    </row>
    <row r="750" spans="1:9" ht="15">
      <c r="A750" s="44" t="s">
        <v>13</v>
      </c>
      <c r="B750" s="43" t="str">
        <f t="shared" si="51"/>
        <v>Fotel do dializ</v>
      </c>
      <c r="C750" s="43" t="str">
        <f t="shared" si="52"/>
        <v>TT-005</v>
      </c>
      <c r="D750" s="43" t="str">
        <f>"3808 "</f>
        <v>3808 </v>
      </c>
      <c r="E750" s="43" t="str">
        <f t="shared" si="55"/>
        <v>Stacja Dializ</v>
      </c>
      <c r="F750" s="43">
        <v>2011</v>
      </c>
      <c r="G750" s="43" t="str">
        <f t="shared" si="53"/>
        <v>Hemotion</v>
      </c>
      <c r="H750" s="2" t="str">
        <f t="shared" si="54"/>
        <v>12 mies.</v>
      </c>
      <c r="I750" s="49">
        <v>43376</v>
      </c>
    </row>
    <row r="751" spans="1:9" ht="15">
      <c r="A751" s="44" t="s">
        <v>14</v>
      </c>
      <c r="B751" s="43" t="str">
        <f t="shared" si="51"/>
        <v>Fotel do dializ</v>
      </c>
      <c r="C751" s="43" t="str">
        <f t="shared" si="52"/>
        <v>TT-005</v>
      </c>
      <c r="D751" s="43" t="str">
        <f>"3809 "</f>
        <v>3809 </v>
      </c>
      <c r="E751" s="43" t="str">
        <f t="shared" si="55"/>
        <v>Stacja Dializ</v>
      </c>
      <c r="F751" s="43">
        <v>2011</v>
      </c>
      <c r="G751" s="43" t="str">
        <f t="shared" si="53"/>
        <v>Hemotion</v>
      </c>
      <c r="H751" s="2" t="str">
        <f t="shared" si="54"/>
        <v>12 mies.</v>
      </c>
      <c r="I751" s="49">
        <v>43376</v>
      </c>
    </row>
    <row r="752" spans="1:9" ht="15">
      <c r="A752" s="44" t="s">
        <v>15</v>
      </c>
      <c r="B752" s="43" t="str">
        <f t="shared" si="51"/>
        <v>Fotel do dializ</v>
      </c>
      <c r="C752" s="43" t="str">
        <f t="shared" si="52"/>
        <v>TT-005</v>
      </c>
      <c r="D752" s="43" t="str">
        <f>"3810 "</f>
        <v>3810 </v>
      </c>
      <c r="E752" s="43" t="str">
        <f t="shared" si="55"/>
        <v>Stacja Dializ</v>
      </c>
      <c r="F752" s="43">
        <v>2011</v>
      </c>
      <c r="G752" s="43" t="str">
        <f t="shared" si="53"/>
        <v>Hemotion</v>
      </c>
      <c r="H752" s="2" t="str">
        <f t="shared" si="54"/>
        <v>12 mies.</v>
      </c>
      <c r="I752" s="49">
        <v>43376</v>
      </c>
    </row>
    <row r="753" spans="1:9" ht="15">
      <c r="A753" s="44" t="s">
        <v>16</v>
      </c>
      <c r="B753" s="43" t="str">
        <f t="shared" si="51"/>
        <v>Fotel do dializ</v>
      </c>
      <c r="C753" s="43" t="str">
        <f t="shared" si="52"/>
        <v>TT-005</v>
      </c>
      <c r="D753" s="43" t="str">
        <f>"3811 "</f>
        <v>3811 </v>
      </c>
      <c r="E753" s="43" t="str">
        <f t="shared" si="55"/>
        <v>Stacja Dializ</v>
      </c>
      <c r="F753" s="43">
        <v>2011</v>
      </c>
      <c r="G753" s="43" t="str">
        <f t="shared" si="53"/>
        <v>Hemotion</v>
      </c>
      <c r="H753" s="2" t="str">
        <f t="shared" si="54"/>
        <v>12 mies.</v>
      </c>
      <c r="I753" s="49">
        <v>43376</v>
      </c>
    </row>
    <row r="754" spans="1:9" ht="15">
      <c r="A754" s="44" t="s">
        <v>17</v>
      </c>
      <c r="B754" s="43" t="str">
        <f t="shared" si="51"/>
        <v>Fotel do dializ</v>
      </c>
      <c r="C754" s="43" t="str">
        <f t="shared" si="52"/>
        <v>TT-005</v>
      </c>
      <c r="D754" s="43" t="str">
        <f>"3814 "</f>
        <v>3814 </v>
      </c>
      <c r="E754" s="43" t="str">
        <f t="shared" si="55"/>
        <v>Stacja Dializ</v>
      </c>
      <c r="F754" s="43">
        <v>2011</v>
      </c>
      <c r="G754" s="43" t="str">
        <f t="shared" si="53"/>
        <v>Hemotion</v>
      </c>
      <c r="H754" s="2" t="str">
        <f t="shared" si="54"/>
        <v>12 mies.</v>
      </c>
      <c r="I754" s="49">
        <v>43376</v>
      </c>
    </row>
    <row r="755" spans="1:9" ht="15">
      <c r="A755" s="44" t="s">
        <v>18</v>
      </c>
      <c r="B755" s="43" t="str">
        <f t="shared" si="51"/>
        <v>Fotel do dializ</v>
      </c>
      <c r="C755" s="43" t="str">
        <f t="shared" si="52"/>
        <v>TT-005</v>
      </c>
      <c r="D755" s="43" t="str">
        <f>"3816 "</f>
        <v>3816 </v>
      </c>
      <c r="E755" s="43" t="str">
        <f t="shared" si="55"/>
        <v>Stacja Dializ</v>
      </c>
      <c r="F755" s="43">
        <v>2011</v>
      </c>
      <c r="G755" s="43" t="str">
        <f t="shared" si="53"/>
        <v>Hemotion</v>
      </c>
      <c r="H755" s="2" t="str">
        <f t="shared" si="54"/>
        <v>12 mies.</v>
      </c>
      <c r="I755" s="49">
        <v>43376</v>
      </c>
    </row>
    <row r="756" spans="1:9" ht="15">
      <c r="A756" s="44" t="s">
        <v>19</v>
      </c>
      <c r="B756" s="43" t="str">
        <f t="shared" si="51"/>
        <v>Fotel do dializ</v>
      </c>
      <c r="C756" s="43" t="str">
        <f t="shared" si="52"/>
        <v>TT-005</v>
      </c>
      <c r="D756" s="43" t="str">
        <f>"3818 "</f>
        <v>3818 </v>
      </c>
      <c r="E756" s="43" t="str">
        <f t="shared" si="55"/>
        <v>Stacja Dializ</v>
      </c>
      <c r="F756" s="43">
        <v>2011</v>
      </c>
      <c r="G756" s="43" t="str">
        <f t="shared" si="53"/>
        <v>Hemotion</v>
      </c>
      <c r="H756" s="2" t="str">
        <f t="shared" si="54"/>
        <v>12 mies.</v>
      </c>
      <c r="I756" s="49">
        <v>43376</v>
      </c>
    </row>
    <row r="757" spans="1:9" ht="15">
      <c r="A757" s="44" t="s">
        <v>20</v>
      </c>
      <c r="B757" s="43" t="str">
        <f t="shared" si="51"/>
        <v>Fotel do dializ</v>
      </c>
      <c r="C757" s="43" t="str">
        <f t="shared" si="52"/>
        <v>TT-005</v>
      </c>
      <c r="D757" s="43" t="str">
        <f>"3813 "</f>
        <v>3813 </v>
      </c>
      <c r="E757" s="43" t="str">
        <f t="shared" si="55"/>
        <v>Stacja Dializ</v>
      </c>
      <c r="F757" s="43">
        <v>2011</v>
      </c>
      <c r="G757" s="43" t="str">
        <f t="shared" si="53"/>
        <v>Hemotion</v>
      </c>
      <c r="H757" s="2" t="str">
        <f t="shared" si="54"/>
        <v>12 mies.</v>
      </c>
      <c r="I757" s="49">
        <v>43376</v>
      </c>
    </row>
    <row r="758" spans="1:9" ht="15">
      <c r="A758" s="44" t="s">
        <v>21</v>
      </c>
      <c r="B758" s="43" t="str">
        <f t="shared" si="51"/>
        <v>Fotel do dializ</v>
      </c>
      <c r="C758" s="43" t="str">
        <f t="shared" si="52"/>
        <v>TT-005</v>
      </c>
      <c r="D758" s="43" t="str">
        <f>"3798 "</f>
        <v>3798 </v>
      </c>
      <c r="E758" s="43" t="str">
        <f t="shared" si="55"/>
        <v>Stacja Dializ</v>
      </c>
      <c r="F758" s="43">
        <v>2011</v>
      </c>
      <c r="G758" s="43" t="str">
        <f t="shared" si="53"/>
        <v>Hemotion</v>
      </c>
      <c r="H758" s="2" t="str">
        <f t="shared" si="54"/>
        <v>12 mies.</v>
      </c>
      <c r="I758" s="49">
        <v>43376</v>
      </c>
    </row>
    <row r="759" spans="1:9" ht="15">
      <c r="A759" s="44" t="s">
        <v>22</v>
      </c>
      <c r="B759" s="43" t="str">
        <f t="shared" si="51"/>
        <v>Fotel do dializ</v>
      </c>
      <c r="C759" s="43" t="str">
        <f t="shared" si="52"/>
        <v>TT-005</v>
      </c>
      <c r="D759" s="43" t="str">
        <f>"3806 "</f>
        <v>3806 </v>
      </c>
      <c r="E759" s="43" t="str">
        <f t="shared" si="55"/>
        <v>Stacja Dializ</v>
      </c>
      <c r="F759" s="43">
        <v>2011</v>
      </c>
      <c r="G759" s="43" t="str">
        <f t="shared" si="53"/>
        <v>Hemotion</v>
      </c>
      <c r="H759" s="2" t="str">
        <f t="shared" si="54"/>
        <v>12 mies.</v>
      </c>
      <c r="I759" s="49">
        <v>43376</v>
      </c>
    </row>
    <row r="760" spans="1:9" ht="15">
      <c r="A760" s="44" t="s">
        <v>23</v>
      </c>
      <c r="B760" s="43" t="str">
        <f t="shared" si="51"/>
        <v>Fotel do dializ</v>
      </c>
      <c r="C760" s="43" t="str">
        <f t="shared" si="52"/>
        <v>TT-005</v>
      </c>
      <c r="D760" s="43" t="str">
        <f>"3817 "</f>
        <v>3817 </v>
      </c>
      <c r="E760" s="43" t="str">
        <f t="shared" si="55"/>
        <v>Stacja Dializ</v>
      </c>
      <c r="F760" s="43">
        <v>2011</v>
      </c>
      <c r="G760" s="43" t="str">
        <f t="shared" si="53"/>
        <v>Hemotion</v>
      </c>
      <c r="H760" s="2" t="str">
        <f t="shared" si="54"/>
        <v>12 mies.</v>
      </c>
      <c r="I760" s="49">
        <v>43376</v>
      </c>
    </row>
    <row r="761" spans="1:9" ht="15">
      <c r="A761" s="44" t="s">
        <v>24</v>
      </c>
      <c r="B761" s="43" t="str">
        <f t="shared" si="51"/>
        <v>Fotel do dializ</v>
      </c>
      <c r="C761" s="43" t="str">
        <f t="shared" si="52"/>
        <v>TT-005</v>
      </c>
      <c r="D761" s="43" t="str">
        <f>"3815 "</f>
        <v>3815 </v>
      </c>
      <c r="E761" s="43" t="str">
        <f t="shared" si="55"/>
        <v>Stacja Dializ</v>
      </c>
      <c r="F761" s="43">
        <v>2011</v>
      </c>
      <c r="G761" s="43" t="str">
        <f t="shared" si="53"/>
        <v>Hemotion</v>
      </c>
      <c r="H761" s="2" t="str">
        <f t="shared" si="54"/>
        <v>12 mies.</v>
      </c>
      <c r="I761" s="49">
        <v>43376</v>
      </c>
    </row>
    <row r="762" spans="1:9" ht="24">
      <c r="A762" s="44" t="s">
        <v>25</v>
      </c>
      <c r="B762" s="43" t="str">
        <f t="shared" si="51"/>
        <v>Fotel do dializ</v>
      </c>
      <c r="C762" s="43" t="str">
        <f t="shared" si="52"/>
        <v>TT-005</v>
      </c>
      <c r="D762" s="43" t="str">
        <f>"3796 "</f>
        <v>3796 </v>
      </c>
      <c r="E762" s="43" t="str">
        <f>"Stacja Dializ Pediatryczna"</f>
        <v>Stacja Dializ Pediatryczna</v>
      </c>
      <c r="F762" s="43">
        <v>2011</v>
      </c>
      <c r="G762" s="43" t="str">
        <f t="shared" si="53"/>
        <v>Hemotion</v>
      </c>
      <c r="H762" s="2" t="str">
        <f t="shared" si="54"/>
        <v>12 mies.</v>
      </c>
      <c r="I762" s="49">
        <v>43377</v>
      </c>
    </row>
    <row r="763" spans="1:9" ht="24">
      <c r="A763" s="44" t="s">
        <v>26</v>
      </c>
      <c r="B763" s="43" t="str">
        <f t="shared" si="51"/>
        <v>Fotel do dializ</v>
      </c>
      <c r="C763" s="43" t="str">
        <f t="shared" si="52"/>
        <v>TT-005</v>
      </c>
      <c r="D763" s="43" t="str">
        <f>"3792 "</f>
        <v>3792 </v>
      </c>
      <c r="E763" s="43" t="str">
        <f>"Stacja Dializ Pediatryczna"</f>
        <v>Stacja Dializ Pediatryczna</v>
      </c>
      <c r="F763" s="43">
        <v>2011</v>
      </c>
      <c r="G763" s="43" t="str">
        <f t="shared" si="53"/>
        <v>Hemotion</v>
      </c>
      <c r="H763" s="2" t="str">
        <f t="shared" si="54"/>
        <v>12 mies.</v>
      </c>
      <c r="I763" s="49">
        <v>43377</v>
      </c>
    </row>
    <row r="764" spans="1:9" ht="24">
      <c r="A764" s="44" t="s">
        <v>27</v>
      </c>
      <c r="B764" s="43" t="str">
        <f t="shared" si="51"/>
        <v>Fotel do dializ</v>
      </c>
      <c r="C764" s="43" t="str">
        <f t="shared" si="52"/>
        <v>TT-005</v>
      </c>
      <c r="D764" s="43" t="str">
        <f>"3805 "</f>
        <v>3805 </v>
      </c>
      <c r="E764" s="43" t="str">
        <f>"Stacja Dializ Pediatryczna"</f>
        <v>Stacja Dializ Pediatryczna</v>
      </c>
      <c r="F764" s="43">
        <v>2011</v>
      </c>
      <c r="G764" s="43" t="str">
        <f t="shared" si="53"/>
        <v>Hemotion</v>
      </c>
      <c r="H764" s="2" t="str">
        <f t="shared" si="54"/>
        <v>12 mies.</v>
      </c>
      <c r="I764" s="49">
        <v>43377</v>
      </c>
    </row>
    <row r="765" spans="1:9" ht="24">
      <c r="A765" s="44" t="s">
        <v>28</v>
      </c>
      <c r="B765" s="43" t="str">
        <f t="shared" si="51"/>
        <v>Fotel do dializ</v>
      </c>
      <c r="C765" s="43" t="str">
        <f t="shared" si="52"/>
        <v>TT-005</v>
      </c>
      <c r="D765" s="43" t="str">
        <f>"3819 "</f>
        <v>3819 </v>
      </c>
      <c r="E765" s="43" t="str">
        <f>"Stacja Dializ Pediatryczna"</f>
        <v>Stacja Dializ Pediatryczna</v>
      </c>
      <c r="F765" s="43">
        <v>2011</v>
      </c>
      <c r="G765" s="43" t="str">
        <f t="shared" si="53"/>
        <v>Hemotion</v>
      </c>
      <c r="H765" s="2" t="str">
        <f t="shared" si="54"/>
        <v>12 mies.</v>
      </c>
      <c r="I765" s="49">
        <v>43377</v>
      </c>
    </row>
    <row r="766" spans="1:9" ht="24">
      <c r="A766" s="44" t="s">
        <v>29</v>
      </c>
      <c r="B766" s="43" t="str">
        <f t="shared" si="51"/>
        <v>Fotel do dializ</v>
      </c>
      <c r="C766" s="43" t="str">
        <f t="shared" si="52"/>
        <v>TT-005</v>
      </c>
      <c r="D766" s="43" t="str">
        <f>"3820 "</f>
        <v>3820 </v>
      </c>
      <c r="E766" s="43" t="str">
        <f>"Stacja Dializ Pediatryczna"</f>
        <v>Stacja Dializ Pediatryczna</v>
      </c>
      <c r="F766" s="43">
        <v>2011</v>
      </c>
      <c r="G766" s="43" t="str">
        <f t="shared" si="53"/>
        <v>Hemotion</v>
      </c>
      <c r="H766" s="2" t="str">
        <f t="shared" si="54"/>
        <v>12 mies.</v>
      </c>
      <c r="I766" s="49">
        <v>43377</v>
      </c>
    </row>
    <row r="767" spans="1:9" ht="15">
      <c r="A767" s="45"/>
      <c r="B767" s="46"/>
      <c r="C767" s="46"/>
      <c r="D767" s="46"/>
      <c r="E767" s="46"/>
      <c r="F767" s="46"/>
      <c r="G767" s="46"/>
      <c r="H767" s="46"/>
      <c r="I767" s="47"/>
    </row>
    <row r="768" spans="2:9" ht="15">
      <c r="B768" s="64" t="s">
        <v>114</v>
      </c>
      <c r="C768" s="64"/>
      <c r="G768" s="64" t="s">
        <v>115</v>
      </c>
      <c r="H768" s="64"/>
      <c r="I768" s="64"/>
    </row>
    <row r="769" spans="2:9" ht="15">
      <c r="B769" s="28"/>
      <c r="C769" s="28"/>
      <c r="G769" s="28"/>
      <c r="H769" s="28"/>
      <c r="I769" s="28"/>
    </row>
    <row r="770" spans="2:9" ht="15">
      <c r="B770" s="28"/>
      <c r="C770" s="28"/>
      <c r="G770" s="28"/>
      <c r="H770" s="28"/>
      <c r="I770" s="28"/>
    </row>
    <row r="771" spans="2:9" ht="15">
      <c r="B771" s="28"/>
      <c r="C771" s="28"/>
      <c r="G771" s="28"/>
      <c r="H771" s="28"/>
      <c r="I771" s="28"/>
    </row>
    <row r="772" spans="2:9" ht="15">
      <c r="B772" s="28"/>
      <c r="C772" s="28"/>
      <c r="G772" s="28"/>
      <c r="H772" s="28"/>
      <c r="I772" s="28"/>
    </row>
    <row r="773" spans="1:9" ht="27" customHeight="1">
      <c r="A773" s="65" t="s">
        <v>295</v>
      </c>
      <c r="B773" s="65"/>
      <c r="C773" s="65"/>
      <c r="D773" s="65"/>
      <c r="E773" s="65"/>
      <c r="F773" s="65"/>
      <c r="G773" s="65"/>
      <c r="H773" s="65"/>
      <c r="I773" s="65"/>
    </row>
    <row r="774" spans="1:9" ht="15">
      <c r="A774" s="45"/>
      <c r="B774" s="46"/>
      <c r="C774" s="46"/>
      <c r="D774" s="46"/>
      <c r="E774" s="46"/>
      <c r="F774" s="46"/>
      <c r="G774" s="46"/>
      <c r="H774" s="46"/>
      <c r="I774" s="47"/>
    </row>
    <row r="775" spans="1:9" ht="48">
      <c r="A775" s="42" t="s">
        <v>1</v>
      </c>
      <c r="B775" s="43" t="str">
        <f>"Nazwa urządzenia"</f>
        <v>Nazwa urządzenia</v>
      </c>
      <c r="C775" s="43" t="str">
        <f>"Typ"</f>
        <v>Typ</v>
      </c>
      <c r="D775" s="43" t="str">
        <f>"Nr Seryjny"</f>
        <v>Nr Seryjny</v>
      </c>
      <c r="E775" s="43" t="str">
        <f>"Jednostka Organizacyjna"</f>
        <v>Jednostka Organizacyjna</v>
      </c>
      <c r="F775" s="43" t="str">
        <f>"Rok Produkcji"</f>
        <v>Rok Produkcji</v>
      </c>
      <c r="G775" s="43" t="str">
        <f>"Producent"</f>
        <v>Producent</v>
      </c>
      <c r="H775" s="43" t="str">
        <f>"Częst. przeglądu"</f>
        <v>Częst. przeglądu</v>
      </c>
      <c r="I775" s="43" t="s">
        <v>117</v>
      </c>
    </row>
    <row r="776" spans="1:9" ht="51">
      <c r="A776" s="44" t="s">
        <v>2</v>
      </c>
      <c r="B776" s="43" t="str">
        <f aca="true" t="shared" si="56" ref="B776:B786">"Fotel do transfuzji i chemioterapii"</f>
        <v>Fotel do transfuzji i chemioterapii</v>
      </c>
      <c r="C776" s="43" t="str">
        <f aca="true" t="shared" si="57" ref="C776:C786">"Stephen H Flat"</f>
        <v>Stephen H Flat</v>
      </c>
      <c r="D776" s="43" t="str">
        <f>"14DP1582"</f>
        <v>14DP1582</v>
      </c>
      <c r="E776" s="43" t="str">
        <f>"Oddział poprzeszczepowy (Przylądek Nadziei)"</f>
        <v>Oddział poprzeszczepowy (Przylądek Nadziei)</v>
      </c>
      <c r="F776" s="43">
        <v>2015</v>
      </c>
      <c r="G776" s="43" t="str">
        <f aca="true" t="shared" si="58" ref="G776:G786">"Gardhen Bilance"</f>
        <v>Gardhen Bilance</v>
      </c>
      <c r="H776" s="43" t="str">
        <f aca="true" t="shared" si="59" ref="H776:H786">"12 mies."</f>
        <v>12 mies.</v>
      </c>
      <c r="I776" s="2" t="s">
        <v>286</v>
      </c>
    </row>
    <row r="777" spans="1:9" ht="51">
      <c r="A777" s="44" t="s">
        <v>3</v>
      </c>
      <c r="B777" s="43" t="str">
        <f t="shared" si="56"/>
        <v>Fotel do transfuzji i chemioterapii</v>
      </c>
      <c r="C777" s="43" t="str">
        <f t="shared" si="57"/>
        <v>Stephen H Flat</v>
      </c>
      <c r="D777" s="43" t="str">
        <f>"14DP1580"</f>
        <v>14DP1580</v>
      </c>
      <c r="E777" s="43" t="str">
        <f>"Oddział poprzeszczepowy (Przylądek Nadziei)"</f>
        <v>Oddział poprzeszczepowy (Przylądek Nadziei)</v>
      </c>
      <c r="F777" s="43">
        <v>2015</v>
      </c>
      <c r="G777" s="43" t="str">
        <f t="shared" si="58"/>
        <v>Gardhen Bilance</v>
      </c>
      <c r="H777" s="43" t="str">
        <f t="shared" si="59"/>
        <v>12 mies.</v>
      </c>
      <c r="I777" s="2" t="s">
        <v>286</v>
      </c>
    </row>
    <row r="778" spans="1:9" ht="51">
      <c r="A778" s="44" t="s">
        <v>4</v>
      </c>
      <c r="B778" s="43" t="str">
        <f t="shared" si="56"/>
        <v>Fotel do transfuzji i chemioterapii</v>
      </c>
      <c r="C778" s="43" t="str">
        <f t="shared" si="57"/>
        <v>Stephen H Flat</v>
      </c>
      <c r="D778" s="43" t="str">
        <f>"14DP1584"</f>
        <v>14DP1584</v>
      </c>
      <c r="E778" s="43" t="str">
        <f>"Przychodnia przykliniczna (Przylądek Nadziei)"</f>
        <v>Przychodnia przykliniczna (Przylądek Nadziei)</v>
      </c>
      <c r="F778" s="43">
        <v>2014</v>
      </c>
      <c r="G778" s="43" t="str">
        <f t="shared" si="58"/>
        <v>Gardhen Bilance</v>
      </c>
      <c r="H778" s="43" t="str">
        <f t="shared" si="59"/>
        <v>12 mies.</v>
      </c>
      <c r="I778" s="2" t="s">
        <v>286</v>
      </c>
    </row>
    <row r="779" spans="1:9" ht="51">
      <c r="A779" s="44" t="s">
        <v>5</v>
      </c>
      <c r="B779" s="43" t="str">
        <f t="shared" si="56"/>
        <v>Fotel do transfuzji i chemioterapii</v>
      </c>
      <c r="C779" s="43" t="str">
        <f t="shared" si="57"/>
        <v>Stephen H Flat</v>
      </c>
      <c r="D779" s="43" t="str">
        <f>"14DP1586"</f>
        <v>14DP1586</v>
      </c>
      <c r="E779" s="43" t="str">
        <f>"Przychodnia przykliniczna (Przylądek Nadziei)"</f>
        <v>Przychodnia przykliniczna (Przylądek Nadziei)</v>
      </c>
      <c r="F779" s="43">
        <v>2014</v>
      </c>
      <c r="G779" s="43" t="str">
        <f t="shared" si="58"/>
        <v>Gardhen Bilance</v>
      </c>
      <c r="H779" s="43" t="str">
        <f t="shared" si="59"/>
        <v>12 mies.</v>
      </c>
      <c r="I779" s="2" t="s">
        <v>286</v>
      </c>
    </row>
    <row r="780" spans="1:9" ht="51">
      <c r="A780" s="44" t="s">
        <v>6</v>
      </c>
      <c r="B780" s="43" t="str">
        <f t="shared" si="56"/>
        <v>Fotel do transfuzji i chemioterapii</v>
      </c>
      <c r="C780" s="43" t="str">
        <f t="shared" si="57"/>
        <v>Stephen H Flat</v>
      </c>
      <c r="D780" s="43" t="str">
        <f>"15DP1080"</f>
        <v>15DP1080</v>
      </c>
      <c r="E780" s="43" t="str">
        <f>"Przychodnia przykliniczna (Przylądek Nadziei)"</f>
        <v>Przychodnia przykliniczna (Przylądek Nadziei)</v>
      </c>
      <c r="F780" s="43">
        <v>2015</v>
      </c>
      <c r="G780" s="43" t="str">
        <f t="shared" si="58"/>
        <v>Gardhen Bilance</v>
      </c>
      <c r="H780" s="43" t="str">
        <f t="shared" si="59"/>
        <v>12 mies.</v>
      </c>
      <c r="I780" s="2" t="s">
        <v>286</v>
      </c>
    </row>
    <row r="781" spans="1:9" ht="51">
      <c r="A781" s="44" t="s">
        <v>7</v>
      </c>
      <c r="B781" s="43" t="str">
        <f t="shared" si="56"/>
        <v>Fotel do transfuzji i chemioterapii</v>
      </c>
      <c r="C781" s="43" t="str">
        <f t="shared" si="57"/>
        <v>Stephen H Flat</v>
      </c>
      <c r="D781" s="43" t="str">
        <f>"15DP1079"</f>
        <v>15DP1079</v>
      </c>
      <c r="E781" s="43" t="str">
        <f aca="true" t="shared" si="60" ref="E781:E786">"Szpital dzienny (Przylądek Nadziei)"</f>
        <v>Szpital dzienny (Przylądek Nadziei)</v>
      </c>
      <c r="F781" s="43">
        <v>2015</v>
      </c>
      <c r="G781" s="43" t="str">
        <f t="shared" si="58"/>
        <v>Gardhen Bilance</v>
      </c>
      <c r="H781" s="43" t="str">
        <f t="shared" si="59"/>
        <v>12 mies.</v>
      </c>
      <c r="I781" s="2" t="s">
        <v>286</v>
      </c>
    </row>
    <row r="782" spans="1:9" ht="51">
      <c r="A782" s="44" t="s">
        <v>8</v>
      </c>
      <c r="B782" s="43" t="str">
        <f t="shared" si="56"/>
        <v>Fotel do transfuzji i chemioterapii</v>
      </c>
      <c r="C782" s="43" t="str">
        <f t="shared" si="57"/>
        <v>Stephen H Flat</v>
      </c>
      <c r="D782" s="43" t="str">
        <f>"14DP1576"</f>
        <v>14DP1576</v>
      </c>
      <c r="E782" s="43" t="str">
        <f t="shared" si="60"/>
        <v>Szpital dzienny (Przylądek Nadziei)</v>
      </c>
      <c r="F782" s="43">
        <v>2014</v>
      </c>
      <c r="G782" s="43" t="str">
        <f t="shared" si="58"/>
        <v>Gardhen Bilance</v>
      </c>
      <c r="H782" s="43" t="str">
        <f t="shared" si="59"/>
        <v>12 mies.</v>
      </c>
      <c r="I782" s="2" t="s">
        <v>286</v>
      </c>
    </row>
    <row r="783" spans="1:9" ht="51">
      <c r="A783" s="44" t="s">
        <v>9</v>
      </c>
      <c r="B783" s="43" t="str">
        <f t="shared" si="56"/>
        <v>Fotel do transfuzji i chemioterapii</v>
      </c>
      <c r="C783" s="43" t="str">
        <f t="shared" si="57"/>
        <v>Stephen H Flat</v>
      </c>
      <c r="D783" s="43" t="str">
        <f>"14DP1579"</f>
        <v>14DP1579</v>
      </c>
      <c r="E783" s="43" t="str">
        <f t="shared" si="60"/>
        <v>Szpital dzienny (Przylądek Nadziei)</v>
      </c>
      <c r="F783" s="43">
        <v>2014</v>
      </c>
      <c r="G783" s="43" t="str">
        <f t="shared" si="58"/>
        <v>Gardhen Bilance</v>
      </c>
      <c r="H783" s="43" t="str">
        <f t="shared" si="59"/>
        <v>12 mies.</v>
      </c>
      <c r="I783" s="2" t="s">
        <v>286</v>
      </c>
    </row>
    <row r="784" spans="1:9" ht="51">
      <c r="A784" s="44" t="s">
        <v>10</v>
      </c>
      <c r="B784" s="43" t="str">
        <f t="shared" si="56"/>
        <v>Fotel do transfuzji i chemioterapii</v>
      </c>
      <c r="C784" s="43" t="str">
        <f t="shared" si="57"/>
        <v>Stephen H Flat</v>
      </c>
      <c r="D784" s="43" t="str">
        <f>"14DP1583"</f>
        <v>14DP1583</v>
      </c>
      <c r="E784" s="43" t="str">
        <f t="shared" si="60"/>
        <v>Szpital dzienny (Przylądek Nadziei)</v>
      </c>
      <c r="F784" s="43">
        <v>2014</v>
      </c>
      <c r="G784" s="43" t="str">
        <f t="shared" si="58"/>
        <v>Gardhen Bilance</v>
      </c>
      <c r="H784" s="43" t="str">
        <f t="shared" si="59"/>
        <v>12 mies.</v>
      </c>
      <c r="I784" s="2" t="s">
        <v>286</v>
      </c>
    </row>
    <row r="785" spans="1:9" ht="51">
      <c r="A785" s="44" t="s">
        <v>11</v>
      </c>
      <c r="B785" s="43" t="str">
        <f t="shared" si="56"/>
        <v>Fotel do transfuzji i chemioterapii</v>
      </c>
      <c r="C785" s="43" t="str">
        <f t="shared" si="57"/>
        <v>Stephen H Flat</v>
      </c>
      <c r="D785" s="43" t="str">
        <f>"14DP1581"</f>
        <v>14DP1581</v>
      </c>
      <c r="E785" s="43" t="str">
        <f t="shared" si="60"/>
        <v>Szpital dzienny (Przylądek Nadziei)</v>
      </c>
      <c r="F785" s="43">
        <v>2015</v>
      </c>
      <c r="G785" s="43" t="str">
        <f t="shared" si="58"/>
        <v>Gardhen Bilance</v>
      </c>
      <c r="H785" s="43" t="str">
        <f t="shared" si="59"/>
        <v>12 mies.</v>
      </c>
      <c r="I785" s="2" t="s">
        <v>286</v>
      </c>
    </row>
    <row r="786" spans="1:9" ht="51">
      <c r="A786" s="44" t="s">
        <v>12</v>
      </c>
      <c r="B786" s="43" t="str">
        <f t="shared" si="56"/>
        <v>Fotel do transfuzji i chemioterapii</v>
      </c>
      <c r="C786" s="43" t="str">
        <f t="shared" si="57"/>
        <v>Stephen H Flat</v>
      </c>
      <c r="D786" s="43" t="str">
        <f>"14DP1578"</f>
        <v>14DP1578</v>
      </c>
      <c r="E786" s="43" t="str">
        <f t="shared" si="60"/>
        <v>Szpital dzienny (Przylądek Nadziei)</v>
      </c>
      <c r="F786" s="43">
        <v>2014</v>
      </c>
      <c r="G786" s="43" t="str">
        <f t="shared" si="58"/>
        <v>Gardhen Bilance</v>
      </c>
      <c r="H786" s="43" t="str">
        <f t="shared" si="59"/>
        <v>12 mies.</v>
      </c>
      <c r="I786" s="2" t="s">
        <v>286</v>
      </c>
    </row>
    <row r="788" spans="2:9" ht="15">
      <c r="B788" s="64" t="s">
        <v>114</v>
      </c>
      <c r="C788" s="64"/>
      <c r="G788" s="64" t="s">
        <v>115</v>
      </c>
      <c r="H788" s="64"/>
      <c r="I788" s="64"/>
    </row>
    <row r="793" spans="1:9" ht="18" customHeight="1">
      <c r="A793" s="65" t="s">
        <v>302</v>
      </c>
      <c r="B793" s="65"/>
      <c r="C793" s="65"/>
      <c r="D793" s="65"/>
      <c r="E793" s="65"/>
      <c r="F793" s="65"/>
      <c r="G793" s="65"/>
      <c r="H793" s="65"/>
      <c r="I793" s="65"/>
    </row>
    <row r="795" spans="1:9" ht="48">
      <c r="A795" s="42" t="s">
        <v>1</v>
      </c>
      <c r="B795" s="43" t="str">
        <f>"Nazwa urządzenia"</f>
        <v>Nazwa urządzenia</v>
      </c>
      <c r="C795" s="43" t="str">
        <f>"Typ"</f>
        <v>Typ</v>
      </c>
      <c r="D795" s="43" t="str">
        <f>"Nr Seryjny"</f>
        <v>Nr Seryjny</v>
      </c>
      <c r="E795" s="43" t="str">
        <f>"Jednostka Organizacyjna"</f>
        <v>Jednostka Organizacyjna</v>
      </c>
      <c r="F795" s="43" t="str">
        <f>"Rok Produkcji"</f>
        <v>Rok Produkcji</v>
      </c>
      <c r="G795" s="43" t="str">
        <f>"Producent"</f>
        <v>Producent</v>
      </c>
      <c r="H795" s="43" t="str">
        <f>"Częst. przeglądu"</f>
        <v>Częst. przeglądu</v>
      </c>
      <c r="I795" s="43" t="s">
        <v>117</v>
      </c>
    </row>
    <row r="796" spans="1:9" ht="50.25" customHeight="1">
      <c r="A796" s="50" t="s">
        <v>2</v>
      </c>
      <c r="B796" s="43" t="str">
        <f>"Laser do stymulacji potencjałów wywołanych "</f>
        <v>Laser do stymulacji potencjałów wywołanych </v>
      </c>
      <c r="C796" s="43" t="str">
        <f>"Neurolas "</f>
        <v>Neurolas </v>
      </c>
      <c r="D796" s="43" t="str">
        <f>"NL8AS101A (NL-0812-01)"</f>
        <v>NL8AS101A (NL-0812-01)</v>
      </c>
      <c r="E796" s="43" t="str">
        <f>"Oddz. Klin. Neurologii, Udarowy"</f>
        <v>Oddz. Klin. Neurologii, Udarowy</v>
      </c>
      <c r="F796" s="43">
        <v>2008</v>
      </c>
      <c r="G796" s="43" t="str">
        <f>"El.En. S.p.A."</f>
        <v>El.En. S.p.A.</v>
      </c>
      <c r="H796" s="43" t="str">
        <f>"12 mies."</f>
        <v>12 mies.</v>
      </c>
      <c r="I796" s="43" t="str">
        <f>"2019-03-12"</f>
        <v>2019-03-12</v>
      </c>
    </row>
    <row r="797" spans="1:9" ht="18.75" customHeight="1">
      <c r="A797" s="54"/>
      <c r="B797" s="46"/>
      <c r="C797" s="46"/>
      <c r="D797" s="46"/>
      <c r="E797" s="46"/>
      <c r="F797" s="46"/>
      <c r="G797" s="46"/>
      <c r="H797" s="46"/>
      <c r="I797" s="46"/>
    </row>
    <row r="798" spans="2:9" ht="17.25" customHeight="1">
      <c r="B798" s="64" t="s">
        <v>114</v>
      </c>
      <c r="C798" s="64"/>
      <c r="G798" s="64" t="s">
        <v>115</v>
      </c>
      <c r="H798" s="64"/>
      <c r="I798" s="64"/>
    </row>
    <row r="799" spans="2:9" ht="17.25" customHeight="1">
      <c r="B799" s="28"/>
      <c r="C799" s="28"/>
      <c r="G799" s="28"/>
      <c r="H799" s="28"/>
      <c r="I799" s="28"/>
    </row>
    <row r="800" spans="2:9" ht="17.25" customHeight="1">
      <c r="B800" s="28"/>
      <c r="C800" s="28"/>
      <c r="G800" s="28"/>
      <c r="H800" s="28"/>
      <c r="I800" s="28"/>
    </row>
    <row r="801" spans="2:9" ht="17.25" customHeight="1">
      <c r="B801" s="28"/>
      <c r="C801" s="28"/>
      <c r="G801" s="28"/>
      <c r="H801" s="28"/>
      <c r="I801" s="28"/>
    </row>
    <row r="802" spans="2:9" ht="17.25" customHeight="1">
      <c r="B802" s="28"/>
      <c r="C802" s="28"/>
      <c r="G802" s="28"/>
      <c r="H802" s="28"/>
      <c r="I802" s="28"/>
    </row>
    <row r="803" spans="1:9" ht="18.75" customHeight="1">
      <c r="A803" s="65" t="s">
        <v>310</v>
      </c>
      <c r="B803" s="65"/>
      <c r="C803" s="65"/>
      <c r="D803" s="65"/>
      <c r="E803" s="65"/>
      <c r="F803" s="65"/>
      <c r="G803" s="65"/>
      <c r="H803" s="65"/>
      <c r="I803" s="65"/>
    </row>
    <row r="804" spans="1:9" ht="18.75" customHeight="1">
      <c r="A804" s="54"/>
      <c r="B804" s="46"/>
      <c r="C804" s="46"/>
      <c r="D804" s="46"/>
      <c r="E804" s="46"/>
      <c r="F804" s="46"/>
      <c r="G804" s="46"/>
      <c r="H804" s="46"/>
      <c r="I804" s="46"/>
    </row>
    <row r="805" spans="1:9" ht="50.25" customHeight="1">
      <c r="A805" s="42" t="s">
        <v>1</v>
      </c>
      <c r="B805" s="43" t="str">
        <f>"Nazwa urządzenia"</f>
        <v>Nazwa urządzenia</v>
      </c>
      <c r="C805" s="43" t="str">
        <f>"Typ"</f>
        <v>Typ</v>
      </c>
      <c r="D805" s="43" t="str">
        <f>"Nr Seryjny"</f>
        <v>Nr Seryjny</v>
      </c>
      <c r="E805" s="43" t="str">
        <f>"Jednostka Organizacyjna"</f>
        <v>Jednostka Organizacyjna</v>
      </c>
      <c r="F805" s="43" t="str">
        <f>"Rok Produkcji"</f>
        <v>Rok Produkcji</v>
      </c>
      <c r="G805" s="43" t="str">
        <f>"Producent"</f>
        <v>Producent</v>
      </c>
      <c r="H805" s="43" t="str">
        <f>"Częst. przeglądu"</f>
        <v>Częst. przeglądu</v>
      </c>
      <c r="I805" s="43" t="s">
        <v>117</v>
      </c>
    </row>
    <row r="806" spans="1:9" ht="51">
      <c r="A806" s="50" t="s">
        <v>2</v>
      </c>
      <c r="B806" s="43" t="str">
        <f>"Laser holmowy"</f>
        <v>Laser holmowy</v>
      </c>
      <c r="C806" s="43" t="str">
        <f>"Stonelight HPS"</f>
        <v>Stonelight HPS</v>
      </c>
      <c r="D806" s="43" t="str">
        <f>"TGM08"</f>
        <v>TGM08</v>
      </c>
      <c r="E806" s="43" t="str">
        <f>"Dział Diagnostyki Endoskopowej"</f>
        <v>Dział Diagnostyki Endoskopowej</v>
      </c>
      <c r="F806" s="43">
        <v>2006</v>
      </c>
      <c r="G806" s="43" t="str">
        <f>"Laseroscope (USA)"</f>
        <v>Laseroscope (USA)</v>
      </c>
      <c r="H806" s="43" t="str">
        <f>"12 mies."</f>
        <v>12 mies.</v>
      </c>
      <c r="I806" s="2" t="s">
        <v>286</v>
      </c>
    </row>
    <row r="807" spans="1:9" ht="15">
      <c r="A807" s="54"/>
      <c r="B807" s="46"/>
      <c r="C807" s="46"/>
      <c r="D807" s="46"/>
      <c r="E807" s="46"/>
      <c r="F807" s="46"/>
      <c r="G807" s="46"/>
      <c r="H807" s="46"/>
      <c r="I807" s="37"/>
    </row>
    <row r="808" spans="2:9" ht="15">
      <c r="B808" s="64" t="s">
        <v>114</v>
      </c>
      <c r="C808" s="64"/>
      <c r="G808" s="64" t="s">
        <v>115</v>
      </c>
      <c r="H808" s="64"/>
      <c r="I808" s="64"/>
    </row>
    <row r="809" spans="2:9" ht="15">
      <c r="B809" s="28"/>
      <c r="C809" s="28"/>
      <c r="G809" s="28"/>
      <c r="H809" s="28"/>
      <c r="I809" s="28"/>
    </row>
    <row r="810" spans="2:9" ht="15">
      <c r="B810" s="28"/>
      <c r="C810" s="28"/>
      <c r="G810" s="28"/>
      <c r="H810" s="28"/>
      <c r="I810" s="28"/>
    </row>
    <row r="811" spans="2:9" ht="15">
      <c r="B811" s="28"/>
      <c r="C811" s="28"/>
      <c r="G811" s="28"/>
      <c r="H811" s="28"/>
      <c r="I811" s="28"/>
    </row>
    <row r="812" spans="2:9" ht="15">
      <c r="B812" s="28"/>
      <c r="C812" s="28"/>
      <c r="G812" s="28"/>
      <c r="H812" s="28"/>
      <c r="I812" s="28"/>
    </row>
    <row r="813" spans="1:9" ht="15">
      <c r="A813" s="65" t="s">
        <v>303</v>
      </c>
      <c r="B813" s="65"/>
      <c r="C813" s="65"/>
      <c r="D813" s="65"/>
      <c r="E813" s="65"/>
      <c r="F813" s="65"/>
      <c r="G813" s="65"/>
      <c r="H813" s="65"/>
      <c r="I813" s="65"/>
    </row>
    <row r="814" spans="1:9" ht="15">
      <c r="A814" s="54"/>
      <c r="B814" s="46"/>
      <c r="C814" s="46"/>
      <c r="D814" s="46"/>
      <c r="E814" s="46"/>
      <c r="F814" s="46"/>
      <c r="G814" s="46"/>
      <c r="H814" s="46"/>
      <c r="I814" s="37"/>
    </row>
    <row r="815" spans="1:9" ht="48">
      <c r="A815" s="42" t="s">
        <v>1</v>
      </c>
      <c r="B815" s="43" t="str">
        <f>"Nazwa urządzenia"</f>
        <v>Nazwa urządzenia</v>
      </c>
      <c r="C815" s="43" t="str">
        <f>"Typ"</f>
        <v>Typ</v>
      </c>
      <c r="D815" s="43" t="str">
        <f>"Nr Seryjny"</f>
        <v>Nr Seryjny</v>
      </c>
      <c r="E815" s="43" t="str">
        <f>"Jednostka Organizacyjna"</f>
        <v>Jednostka Organizacyjna</v>
      </c>
      <c r="F815" s="43" t="str">
        <f>"Rok Produkcji"</f>
        <v>Rok Produkcji</v>
      </c>
      <c r="G815" s="43" t="str">
        <f>"Producent"</f>
        <v>Producent</v>
      </c>
      <c r="H815" s="43" t="str">
        <f>"Częst. przeglądu"</f>
        <v>Częst. przeglądu</v>
      </c>
      <c r="I815" s="43" t="s">
        <v>117</v>
      </c>
    </row>
    <row r="816" spans="1:9" ht="51">
      <c r="A816" s="51" t="s">
        <v>2</v>
      </c>
      <c r="B816" s="52" t="str">
        <f>"Laser okulistyczny"</f>
        <v>Laser okulistyczny</v>
      </c>
      <c r="C816" s="52" t="str">
        <f>"Classic KTP 532nm"</f>
        <v>Classic KTP 532nm</v>
      </c>
      <c r="D816" s="52" t="str">
        <f>"701626"</f>
        <v>701626</v>
      </c>
      <c r="E816" s="52" t="str">
        <f>"Oddz. Klin. Okulistyczny"</f>
        <v>Oddz. Klin. Okulistyczny</v>
      </c>
      <c r="F816" s="52">
        <v>2014</v>
      </c>
      <c r="G816" s="52" t="str">
        <f>"ARC Laser"</f>
        <v>ARC Laser</v>
      </c>
      <c r="H816" s="52" t="str">
        <f>"12 mies."</f>
        <v>12 mies.</v>
      </c>
      <c r="I816" s="53" t="s">
        <v>286</v>
      </c>
    </row>
    <row r="817" spans="1:9" ht="24">
      <c r="A817" s="51" t="s">
        <v>3</v>
      </c>
      <c r="B817" s="43" t="str">
        <f>"Laser okulistyczny"</f>
        <v>Laser okulistyczny</v>
      </c>
      <c r="C817" s="43" t="str">
        <f>"FOX 810nm"</f>
        <v>FOX 810nm</v>
      </c>
      <c r="D817" s="43" t="str">
        <f>"601594-AAA "</f>
        <v>601594-AAA </v>
      </c>
      <c r="E817" s="43" t="str">
        <f>"Oddz. Klin. Okulistyczny"</f>
        <v>Oddz. Klin. Okulistyczny</v>
      </c>
      <c r="F817" s="43">
        <v>2009</v>
      </c>
      <c r="G817" s="43" t="str">
        <f>"ARC Laser"</f>
        <v>ARC Laser</v>
      </c>
      <c r="H817" s="43" t="str">
        <f>"12 mies."</f>
        <v>12 mies.</v>
      </c>
      <c r="I817" s="49">
        <v>43396</v>
      </c>
    </row>
    <row r="818" spans="1:9" ht="15">
      <c r="A818" s="54"/>
      <c r="B818" s="46"/>
      <c r="C818" s="46"/>
      <c r="D818" s="46"/>
      <c r="E818" s="46"/>
      <c r="F818" s="46"/>
      <c r="G818" s="46"/>
      <c r="H818" s="46"/>
      <c r="I818" s="55"/>
    </row>
    <row r="819" spans="2:9" ht="15" customHeight="1">
      <c r="B819" s="64" t="s">
        <v>114</v>
      </c>
      <c r="C819" s="64"/>
      <c r="G819" s="64" t="s">
        <v>115</v>
      </c>
      <c r="H819" s="64"/>
      <c r="I819" s="64"/>
    </row>
    <row r="820" spans="2:9" ht="15" customHeight="1">
      <c r="B820" s="28"/>
      <c r="C820" s="28"/>
      <c r="G820" s="28"/>
      <c r="H820" s="28"/>
      <c r="I820" s="28"/>
    </row>
    <row r="821" spans="2:9" ht="15" customHeight="1">
      <c r="B821" s="28"/>
      <c r="C821" s="28"/>
      <c r="G821" s="28"/>
      <c r="H821" s="28"/>
      <c r="I821" s="28"/>
    </row>
    <row r="822" spans="2:9" ht="15" customHeight="1">
      <c r="B822" s="28"/>
      <c r="C822" s="28"/>
      <c r="G822" s="28"/>
      <c r="H822" s="28"/>
      <c r="I822" s="28"/>
    </row>
    <row r="823" spans="2:9" ht="15" customHeight="1">
      <c r="B823" s="28"/>
      <c r="C823" s="28"/>
      <c r="G823" s="28"/>
      <c r="H823" s="28"/>
      <c r="I823" s="28"/>
    </row>
    <row r="824" spans="1:9" ht="15">
      <c r="A824" s="65" t="s">
        <v>304</v>
      </c>
      <c r="B824" s="65"/>
      <c r="C824" s="65"/>
      <c r="D824" s="65"/>
      <c r="E824" s="65"/>
      <c r="F824" s="65"/>
      <c r="G824" s="65"/>
      <c r="H824" s="65"/>
      <c r="I824" s="65"/>
    </row>
    <row r="825" spans="1:9" ht="15">
      <c r="A825" s="54"/>
      <c r="B825" s="46"/>
      <c r="C825" s="46"/>
      <c r="D825" s="46"/>
      <c r="E825" s="46"/>
      <c r="F825" s="46"/>
      <c r="G825" s="46"/>
      <c r="H825" s="46"/>
      <c r="I825" s="55"/>
    </row>
    <row r="826" spans="1:9" ht="48">
      <c r="A826" s="42" t="s">
        <v>1</v>
      </c>
      <c r="B826" s="43" t="str">
        <f>"Nazwa urządzenia"</f>
        <v>Nazwa urządzenia</v>
      </c>
      <c r="C826" s="43" t="str">
        <f>"Typ"</f>
        <v>Typ</v>
      </c>
      <c r="D826" s="43" t="str">
        <f>"Nr Seryjny"</f>
        <v>Nr Seryjny</v>
      </c>
      <c r="E826" s="43" t="str">
        <f>"Jednostka Organizacyjna"</f>
        <v>Jednostka Organizacyjna</v>
      </c>
      <c r="F826" s="43" t="str">
        <f>"Rok Produkcji"</f>
        <v>Rok Produkcji</v>
      </c>
      <c r="G826" s="43" t="str">
        <f>"Producent"</f>
        <v>Producent</v>
      </c>
      <c r="H826" s="43" t="str">
        <f>"Częst. przeglądu"</f>
        <v>Częst. przeglądu</v>
      </c>
      <c r="I826" s="43" t="s">
        <v>117</v>
      </c>
    </row>
    <row r="827" spans="1:9" ht="51">
      <c r="A827" s="50" t="s">
        <v>2</v>
      </c>
      <c r="B827" s="43" t="str">
        <f>"Laser okulistyczny"</f>
        <v>Laser okulistyczny</v>
      </c>
      <c r="C827" s="43" t="str">
        <f>"IRIDEX OcuLight GL"</f>
        <v>IRIDEX OcuLight GL</v>
      </c>
      <c r="D827" s="43" t="str">
        <f>"GL13373B "</f>
        <v>GL13373B </v>
      </c>
      <c r="E827" s="43" t="str">
        <f>"Poradnia Przykl. Okulistyczna"</f>
        <v>Poradnia Przykl. Okulistyczna</v>
      </c>
      <c r="F827" s="43">
        <v>1999</v>
      </c>
      <c r="G827" s="43" t="str">
        <f>"Iris Medical"</f>
        <v>Iris Medical</v>
      </c>
      <c r="H827" s="43" t="str">
        <f>"12 mies."</f>
        <v>12 mies.</v>
      </c>
      <c r="I827" s="2" t="s">
        <v>286</v>
      </c>
    </row>
    <row r="828" spans="1:9" ht="15">
      <c r="A828" s="54"/>
      <c r="B828" s="46"/>
      <c r="C828" s="46"/>
      <c r="D828" s="46"/>
      <c r="E828" s="46"/>
      <c r="F828" s="46"/>
      <c r="G828" s="46"/>
      <c r="H828" s="46"/>
      <c r="I828" s="37"/>
    </row>
    <row r="829" spans="2:9" ht="15">
      <c r="B829" s="64" t="s">
        <v>114</v>
      </c>
      <c r="C829" s="64"/>
      <c r="G829" s="64" t="s">
        <v>115</v>
      </c>
      <c r="H829" s="64"/>
      <c r="I829" s="64"/>
    </row>
    <row r="830" spans="1:9" ht="15">
      <c r="A830" s="54"/>
      <c r="B830" s="46"/>
      <c r="C830" s="46"/>
      <c r="D830" s="46"/>
      <c r="E830" s="46"/>
      <c r="F830" s="46"/>
      <c r="G830" s="46"/>
      <c r="H830" s="46"/>
      <c r="I830" s="37"/>
    </row>
    <row r="831" spans="1:9" ht="15">
      <c r="A831" s="54"/>
      <c r="B831" s="46"/>
      <c r="C831" s="46"/>
      <c r="D831" s="46"/>
      <c r="E831" s="46"/>
      <c r="F831" s="46"/>
      <c r="G831" s="46"/>
      <c r="H831" s="46"/>
      <c r="I831" s="37"/>
    </row>
    <row r="832" spans="1:9" ht="15">
      <c r="A832" s="54"/>
      <c r="B832" s="46"/>
      <c r="C832" s="46"/>
      <c r="D832" s="46"/>
      <c r="E832" s="46"/>
      <c r="F832" s="46"/>
      <c r="G832" s="46"/>
      <c r="H832" s="46"/>
      <c r="I832" s="37"/>
    </row>
    <row r="833" spans="1:9" ht="15">
      <c r="A833" s="54"/>
      <c r="B833" s="46"/>
      <c r="C833" s="46"/>
      <c r="D833" s="46"/>
      <c r="E833" s="46"/>
      <c r="F833" s="46"/>
      <c r="G833" s="46"/>
      <c r="H833" s="46"/>
      <c r="I833" s="37"/>
    </row>
    <row r="834" spans="1:9" ht="15">
      <c r="A834" s="65" t="s">
        <v>305</v>
      </c>
      <c r="B834" s="65"/>
      <c r="C834" s="65"/>
      <c r="D834" s="65"/>
      <c r="E834" s="65"/>
      <c r="F834" s="65"/>
      <c r="G834" s="65"/>
      <c r="H834" s="65"/>
      <c r="I834" s="65"/>
    </row>
    <row r="835" spans="1:9" ht="15">
      <c r="A835" s="54"/>
      <c r="B835" s="46"/>
      <c r="C835" s="46"/>
      <c r="D835" s="46"/>
      <c r="E835" s="46"/>
      <c r="F835" s="46"/>
      <c r="G835" s="46"/>
      <c r="H835" s="46"/>
      <c r="I835" s="37"/>
    </row>
    <row r="836" spans="1:9" ht="48">
      <c r="A836" s="42" t="s">
        <v>1</v>
      </c>
      <c r="B836" s="43" t="str">
        <f>"Nazwa urządzenia"</f>
        <v>Nazwa urządzenia</v>
      </c>
      <c r="C836" s="43" t="str">
        <f>"Typ"</f>
        <v>Typ</v>
      </c>
      <c r="D836" s="43" t="str">
        <f>"Nr Seryjny"</f>
        <v>Nr Seryjny</v>
      </c>
      <c r="E836" s="43" t="str">
        <f>"Jednostka Organizacyjna"</f>
        <v>Jednostka Organizacyjna</v>
      </c>
      <c r="F836" s="43" t="str">
        <f>"Rok Produkcji"</f>
        <v>Rok Produkcji</v>
      </c>
      <c r="G836" s="43" t="str">
        <f>"Producent"</f>
        <v>Producent</v>
      </c>
      <c r="H836" s="43" t="str">
        <f>"Częst. przeglądu"</f>
        <v>Częst. przeglądu</v>
      </c>
      <c r="I836" s="43" t="s">
        <v>117</v>
      </c>
    </row>
    <row r="837" spans="1:9" ht="51">
      <c r="A837" s="50" t="s">
        <v>2</v>
      </c>
      <c r="B837" s="43" t="str">
        <f>"Laser okulistyczny"</f>
        <v>Laser okulistyczny</v>
      </c>
      <c r="C837" s="43" t="str">
        <f>"SLT Solutis"</f>
        <v>SLT Solutis</v>
      </c>
      <c r="D837" s="43" t="str">
        <f>"5703039"</f>
        <v>5703039</v>
      </c>
      <c r="E837" s="43" t="str">
        <f>"Poradnia Przykl. Okulistyczna"</f>
        <v>Poradnia Przykl. Okulistyczna</v>
      </c>
      <c r="F837" s="43">
        <v>2012</v>
      </c>
      <c r="G837" s="43" t="str">
        <f>"Quantel Medical"</f>
        <v>Quantel Medical</v>
      </c>
      <c r="H837" s="43" t="str">
        <f>"12 mies."</f>
        <v>12 mies.</v>
      </c>
      <c r="I837" s="2" t="s">
        <v>286</v>
      </c>
    </row>
    <row r="838" spans="1:9" ht="15">
      <c r="A838" s="54"/>
      <c r="B838" s="46"/>
      <c r="C838" s="46"/>
      <c r="D838" s="46"/>
      <c r="E838" s="46"/>
      <c r="F838" s="46"/>
      <c r="G838" s="46"/>
      <c r="H838" s="46"/>
      <c r="I838" s="37"/>
    </row>
    <row r="839" spans="2:9" ht="15">
      <c r="B839" s="64" t="s">
        <v>114</v>
      </c>
      <c r="C839" s="64"/>
      <c r="G839" s="64" t="s">
        <v>115</v>
      </c>
      <c r="H839" s="64"/>
      <c r="I839" s="64"/>
    </row>
    <row r="840" spans="2:9" ht="15">
      <c r="B840" s="28"/>
      <c r="C840" s="28"/>
      <c r="G840" s="28"/>
      <c r="H840" s="28"/>
      <c r="I840" s="28"/>
    </row>
    <row r="841" spans="2:9" ht="15">
      <c r="B841" s="28"/>
      <c r="C841" s="28"/>
      <c r="G841" s="28"/>
      <c r="H841" s="28"/>
      <c r="I841" s="28"/>
    </row>
    <row r="842" spans="2:9" ht="15">
      <c r="B842" s="28"/>
      <c r="C842" s="28"/>
      <c r="G842" s="28"/>
      <c r="H842" s="28"/>
      <c r="I842" s="28"/>
    </row>
    <row r="843" spans="2:9" ht="15">
      <c r="B843" s="28"/>
      <c r="C843" s="28"/>
      <c r="G843" s="28"/>
      <c r="H843" s="28"/>
      <c r="I843" s="28"/>
    </row>
    <row r="844" spans="1:9" ht="15" customHeight="1">
      <c r="A844" s="65" t="s">
        <v>306</v>
      </c>
      <c r="B844" s="65"/>
      <c r="C844" s="65"/>
      <c r="D844" s="65"/>
      <c r="E844" s="65"/>
      <c r="F844" s="65"/>
      <c r="G844" s="65"/>
      <c r="H844" s="65"/>
      <c r="I844" s="65"/>
    </row>
    <row r="845" spans="1:9" ht="15">
      <c r="A845" s="54"/>
      <c r="B845" s="46"/>
      <c r="C845" s="46"/>
      <c r="D845" s="46"/>
      <c r="E845" s="46"/>
      <c r="F845" s="46"/>
      <c r="G845" s="46"/>
      <c r="H845" s="46"/>
      <c r="I845" s="37"/>
    </row>
    <row r="846" spans="1:9" ht="48">
      <c r="A846" s="42" t="s">
        <v>1</v>
      </c>
      <c r="B846" s="43" t="str">
        <f>"Nazwa urządzenia"</f>
        <v>Nazwa urządzenia</v>
      </c>
      <c r="C846" s="43" t="str">
        <f>"Typ"</f>
        <v>Typ</v>
      </c>
      <c r="D846" s="43" t="str">
        <f>"Nr Seryjny"</f>
        <v>Nr Seryjny</v>
      </c>
      <c r="E846" s="43" t="str">
        <f>"Jednostka Organizacyjna"</f>
        <v>Jednostka Organizacyjna</v>
      </c>
      <c r="F846" s="43" t="str">
        <f>"Rok Produkcji"</f>
        <v>Rok Produkcji</v>
      </c>
      <c r="G846" s="43" t="str">
        <f>"Producent"</f>
        <v>Producent</v>
      </c>
      <c r="H846" s="43" t="str">
        <f>"Częst. przeglądu"</f>
        <v>Częst. przeglądu</v>
      </c>
      <c r="I846" s="43" t="s">
        <v>117</v>
      </c>
    </row>
    <row r="847" spans="1:9" ht="24">
      <c r="A847" s="50" t="s">
        <v>2</v>
      </c>
      <c r="B847" s="43" t="str">
        <f>"Laser okulistyczny"</f>
        <v>Laser okulistyczny</v>
      </c>
      <c r="C847" s="43" t="str">
        <f>"YAG Q-Switch"</f>
        <v>YAG Q-Switch</v>
      </c>
      <c r="D847" s="43" t="str">
        <f>"YAG 40 "</f>
        <v>YAG 40 </v>
      </c>
      <c r="E847" s="43" t="str">
        <f>"Poradnia Przykl. Okulistyczna"</f>
        <v>Poradnia Przykl. Okulistyczna</v>
      </c>
      <c r="F847" s="43">
        <v>2009</v>
      </c>
      <c r="G847" s="43" t="str">
        <f>"Lightmed"</f>
        <v>Lightmed</v>
      </c>
      <c r="H847" s="43" t="str">
        <f>"12 mies."</f>
        <v>12 mies.</v>
      </c>
      <c r="I847" s="49">
        <v>43538</v>
      </c>
    </row>
    <row r="848" spans="1:9" ht="15">
      <c r="A848" s="54"/>
      <c r="B848" s="46"/>
      <c r="C848" s="46"/>
      <c r="D848" s="46"/>
      <c r="E848" s="46"/>
      <c r="F848" s="46"/>
      <c r="G848" s="46"/>
      <c r="H848" s="46"/>
      <c r="I848" s="55"/>
    </row>
    <row r="849" spans="2:9" ht="15">
      <c r="B849" s="64" t="s">
        <v>114</v>
      </c>
      <c r="C849" s="64"/>
      <c r="G849" s="64" t="s">
        <v>115</v>
      </c>
      <c r="H849" s="64"/>
      <c r="I849" s="64"/>
    </row>
    <row r="850" spans="2:9" ht="15">
      <c r="B850" s="28"/>
      <c r="C850" s="28"/>
      <c r="G850" s="28"/>
      <c r="H850" s="28"/>
      <c r="I850" s="28"/>
    </row>
    <row r="851" spans="2:9" ht="15">
      <c r="B851" s="28"/>
      <c r="C851" s="28"/>
      <c r="G851" s="28"/>
      <c r="H851" s="28"/>
      <c r="I851" s="28"/>
    </row>
    <row r="852" spans="2:9" ht="15">
      <c r="B852" s="28"/>
      <c r="C852" s="28"/>
      <c r="G852" s="28"/>
      <c r="H852" s="28"/>
      <c r="I852" s="28"/>
    </row>
    <row r="853" spans="2:9" ht="15">
      <c r="B853" s="28"/>
      <c r="C853" s="28"/>
      <c r="G853" s="28"/>
      <c r="H853" s="28"/>
      <c r="I853" s="28"/>
    </row>
    <row r="854" spans="1:9" ht="15">
      <c r="A854" s="65" t="s">
        <v>307</v>
      </c>
      <c r="B854" s="65"/>
      <c r="C854" s="65"/>
      <c r="D854" s="65"/>
      <c r="E854" s="65"/>
      <c r="F854" s="65"/>
      <c r="G854" s="65"/>
      <c r="H854" s="65"/>
      <c r="I854" s="65"/>
    </row>
    <row r="855" spans="1:9" ht="15">
      <c r="A855" s="54"/>
      <c r="B855" s="46"/>
      <c r="C855" s="46"/>
      <c r="D855" s="46"/>
      <c r="E855" s="46"/>
      <c r="F855" s="46"/>
      <c r="G855" s="46"/>
      <c r="H855" s="46"/>
      <c r="I855" s="55"/>
    </row>
    <row r="856" spans="1:9" ht="48">
      <c r="A856" s="42" t="s">
        <v>1</v>
      </c>
      <c r="B856" s="43" t="str">
        <f>"Nazwa urządzenia"</f>
        <v>Nazwa urządzenia</v>
      </c>
      <c r="C856" s="43" t="str">
        <f>"Typ"</f>
        <v>Typ</v>
      </c>
      <c r="D856" s="43" t="str">
        <f>"Nr Seryjny"</f>
        <v>Nr Seryjny</v>
      </c>
      <c r="E856" s="43" t="str">
        <f>"Jednostka Organizacyjna"</f>
        <v>Jednostka Organizacyjna</v>
      </c>
      <c r="F856" s="43" t="str">
        <f>"Rok Produkcji"</f>
        <v>Rok Produkcji</v>
      </c>
      <c r="G856" s="43" t="str">
        <f>"Producent"</f>
        <v>Producent</v>
      </c>
      <c r="H856" s="43" t="str">
        <f>"Częst. przeglądu"</f>
        <v>Częst. przeglądu</v>
      </c>
      <c r="I856" s="43" t="s">
        <v>117</v>
      </c>
    </row>
    <row r="857" spans="1:9" ht="51">
      <c r="A857" s="50" t="s">
        <v>2</v>
      </c>
      <c r="B857" s="43" t="str">
        <f>"Laser terapeutyczny"</f>
        <v>Laser terapeutyczny</v>
      </c>
      <c r="C857" s="43" t="str">
        <f>"LT 1000"</f>
        <v>LT 1000</v>
      </c>
      <c r="D857" s="43" t="str">
        <f>"7030051"</f>
        <v>7030051</v>
      </c>
      <c r="E857" s="43" t="s">
        <v>0</v>
      </c>
      <c r="F857" s="43">
        <v>1995</v>
      </c>
      <c r="G857" s="43" t="str">
        <f>"Inco Laser"</f>
        <v>Inco Laser</v>
      </c>
      <c r="H857" s="43" t="str">
        <f>"12 mies."</f>
        <v>12 mies.</v>
      </c>
      <c r="I857" s="2" t="s">
        <v>286</v>
      </c>
    </row>
    <row r="858" spans="1:9" ht="15">
      <c r="A858" s="54"/>
      <c r="B858" s="46"/>
      <c r="C858" s="46"/>
      <c r="D858" s="46"/>
      <c r="E858" s="46"/>
      <c r="F858" s="46"/>
      <c r="G858" s="46"/>
      <c r="H858" s="46"/>
      <c r="I858" s="37"/>
    </row>
    <row r="859" spans="2:9" ht="15" customHeight="1">
      <c r="B859" s="64" t="s">
        <v>114</v>
      </c>
      <c r="C859" s="64"/>
      <c r="G859" s="64" t="s">
        <v>115</v>
      </c>
      <c r="H859" s="64"/>
      <c r="I859" s="64"/>
    </row>
    <row r="860" spans="2:9" ht="15" customHeight="1">
      <c r="B860" s="28"/>
      <c r="C860" s="28"/>
      <c r="G860" s="28"/>
      <c r="H860" s="28"/>
      <c r="I860" s="28"/>
    </row>
    <row r="861" spans="2:9" ht="15" customHeight="1">
      <c r="B861" s="28"/>
      <c r="C861" s="28"/>
      <c r="G861" s="28"/>
      <c r="H861" s="28"/>
      <c r="I861" s="28"/>
    </row>
    <row r="862" spans="2:9" ht="15" customHeight="1">
      <c r="B862" s="28"/>
      <c r="C862" s="28"/>
      <c r="G862" s="28"/>
      <c r="H862" s="28"/>
      <c r="I862" s="28"/>
    </row>
    <row r="863" spans="2:9" ht="15" customHeight="1">
      <c r="B863" s="28"/>
      <c r="C863" s="28"/>
      <c r="G863" s="28"/>
      <c r="H863" s="28"/>
      <c r="I863" s="28"/>
    </row>
    <row r="864" spans="1:9" ht="15">
      <c r="A864" s="65" t="s">
        <v>308</v>
      </c>
      <c r="B864" s="65"/>
      <c r="C864" s="65"/>
      <c r="D864" s="65"/>
      <c r="E864" s="65"/>
      <c r="F864" s="65"/>
      <c r="G864" s="65"/>
      <c r="H864" s="65"/>
      <c r="I864" s="65"/>
    </row>
    <row r="865" spans="1:9" ht="15">
      <c r="A865" s="54"/>
      <c r="B865" s="46"/>
      <c r="C865" s="46"/>
      <c r="D865" s="46"/>
      <c r="E865" s="46"/>
      <c r="F865" s="46"/>
      <c r="G865" s="46"/>
      <c r="H865" s="46"/>
      <c r="I865" s="37"/>
    </row>
    <row r="866" spans="1:9" ht="48">
      <c r="A866" s="42" t="s">
        <v>1</v>
      </c>
      <c r="B866" s="43" t="str">
        <f>"Nazwa urządzenia"</f>
        <v>Nazwa urządzenia</v>
      </c>
      <c r="C866" s="43" t="str">
        <f>"Typ"</f>
        <v>Typ</v>
      </c>
      <c r="D866" s="43" t="str">
        <f>"Nr Seryjny"</f>
        <v>Nr Seryjny</v>
      </c>
      <c r="E866" s="43" t="str">
        <f>"Jednostka Organizacyjna"</f>
        <v>Jednostka Organizacyjna</v>
      </c>
      <c r="F866" s="43" t="str">
        <f>"Rok Produkcji"</f>
        <v>Rok Produkcji</v>
      </c>
      <c r="G866" s="43" t="str">
        <f>"Producent"</f>
        <v>Producent</v>
      </c>
      <c r="H866" s="43" t="str">
        <f>"Częst. przeglądu"</f>
        <v>Częst. przeglądu</v>
      </c>
      <c r="I866" s="43" t="s">
        <v>117</v>
      </c>
    </row>
    <row r="867" spans="1:9" ht="51">
      <c r="A867" s="50" t="s">
        <v>2</v>
      </c>
      <c r="B867" s="43" t="str">
        <f>"Laser urologiczny Holmowo:YAG-owy"</f>
        <v>Laser urologiczny Holmowo:YAG-owy</v>
      </c>
      <c r="C867" s="43" t="str">
        <f>"OmniPulse TM MAX 80W, REF 1210-VHP"</f>
        <v>OmniPulse TM MAX 80W, REF 1210-VHP</v>
      </c>
      <c r="D867" s="43" t="str">
        <f>"T-885/5.387.211"</f>
        <v>T-885/5.387.211</v>
      </c>
      <c r="E867" s="43" t="str">
        <f>"Dział Diagnostyki Endoskopowej"</f>
        <v>Dział Diagnostyki Endoskopowej</v>
      </c>
      <c r="F867" s="43">
        <v>2005</v>
      </c>
      <c r="G867" s="43" t="str">
        <f>"Trimedyne Inc."</f>
        <v>Trimedyne Inc.</v>
      </c>
      <c r="H867" s="43" t="str">
        <f>"12 mies."</f>
        <v>12 mies.</v>
      </c>
      <c r="I867" s="2" t="s">
        <v>286</v>
      </c>
    </row>
    <row r="868" spans="1:9" ht="15">
      <c r="A868" s="54"/>
      <c r="B868" s="46"/>
      <c r="C868" s="46"/>
      <c r="D868" s="46"/>
      <c r="E868" s="46"/>
      <c r="F868" s="46"/>
      <c r="G868" s="46"/>
      <c r="H868" s="46"/>
      <c r="I868" s="37"/>
    </row>
    <row r="869" spans="2:9" ht="15">
      <c r="B869" s="64" t="s">
        <v>114</v>
      </c>
      <c r="C869" s="64"/>
      <c r="G869" s="64" t="s">
        <v>115</v>
      </c>
      <c r="H869" s="64"/>
      <c r="I869" s="64"/>
    </row>
    <row r="870" spans="2:9" ht="15">
      <c r="B870" s="28"/>
      <c r="C870" s="28"/>
      <c r="G870" s="28"/>
      <c r="H870" s="28"/>
      <c r="I870" s="28"/>
    </row>
    <row r="871" spans="2:9" ht="15">
      <c r="B871" s="28"/>
      <c r="C871" s="28"/>
      <c r="G871" s="28"/>
      <c r="H871" s="28"/>
      <c r="I871" s="28"/>
    </row>
    <row r="872" spans="2:9" ht="15">
      <c r="B872" s="28"/>
      <c r="C872" s="28"/>
      <c r="G872" s="28"/>
      <c r="H872" s="28"/>
      <c r="I872" s="28"/>
    </row>
    <row r="873" spans="1:9" ht="15" customHeight="1">
      <c r="A873" s="65" t="s">
        <v>309</v>
      </c>
      <c r="B873" s="65"/>
      <c r="C873" s="65"/>
      <c r="D873" s="65"/>
      <c r="E873" s="65"/>
      <c r="F873" s="65"/>
      <c r="G873" s="65"/>
      <c r="H873" s="65"/>
      <c r="I873" s="65"/>
    </row>
    <row r="874" spans="1:9" ht="15">
      <c r="A874" s="54"/>
      <c r="B874" s="46"/>
      <c r="C874" s="46"/>
      <c r="D874" s="46"/>
      <c r="E874" s="46"/>
      <c r="F874" s="46"/>
      <c r="G874" s="46"/>
      <c r="H874" s="46"/>
      <c r="I874" s="37"/>
    </row>
    <row r="875" spans="1:9" ht="48">
      <c r="A875" s="42" t="s">
        <v>1</v>
      </c>
      <c r="B875" s="43" t="str">
        <f>"Nazwa urządzenia"</f>
        <v>Nazwa urządzenia</v>
      </c>
      <c r="C875" s="43" t="str">
        <f>"Typ"</f>
        <v>Typ</v>
      </c>
      <c r="D875" s="43" t="str">
        <f>"Nr Seryjny"</f>
        <v>Nr Seryjny</v>
      </c>
      <c r="E875" s="43" t="str">
        <f>"Jednostka Organizacyjna"</f>
        <v>Jednostka Organizacyjna</v>
      </c>
      <c r="F875" s="43" t="str">
        <f>"Rok Produkcji"</f>
        <v>Rok Produkcji</v>
      </c>
      <c r="G875" s="43" t="str">
        <f>"Producent"</f>
        <v>Producent</v>
      </c>
      <c r="H875" s="43" t="str">
        <f>"Częst. przeglądu"</f>
        <v>Częst. przeglądu</v>
      </c>
      <c r="I875" s="43" t="s">
        <v>117</v>
      </c>
    </row>
    <row r="876" spans="1:9" ht="51">
      <c r="A876" s="51" t="s">
        <v>2</v>
      </c>
      <c r="B876" s="52" t="str">
        <f>"Laser Zielony"</f>
        <v>Laser Zielony</v>
      </c>
      <c r="C876" s="52" t="str">
        <f>"GREEN LIGHT TM HPS"</f>
        <v>GREEN LIGHT TM HPS</v>
      </c>
      <c r="D876" s="52" t="str">
        <f>"HPS2263"</f>
        <v>HPS2263</v>
      </c>
      <c r="E876" s="52" t="str">
        <f>"Dział Diagnostyki Endoskopowej"</f>
        <v>Dział Diagnostyki Endoskopowej</v>
      </c>
      <c r="F876" s="52">
        <v>2007</v>
      </c>
      <c r="G876" s="52" t="str">
        <f>"WOLF"</f>
        <v>WOLF</v>
      </c>
      <c r="H876" s="52" t="str">
        <f>"12 mies."</f>
        <v>12 mies.</v>
      </c>
      <c r="I876" s="53" t="s">
        <v>286</v>
      </c>
    </row>
    <row r="878" spans="2:9" ht="15">
      <c r="B878" s="64" t="s">
        <v>114</v>
      </c>
      <c r="C878" s="64"/>
      <c r="G878" s="64" t="s">
        <v>115</v>
      </c>
      <c r="H878" s="64"/>
      <c r="I878" s="64"/>
    </row>
    <row r="883" spans="1:9" ht="15">
      <c r="A883" s="65" t="s">
        <v>312</v>
      </c>
      <c r="B883" s="65"/>
      <c r="C883" s="65"/>
      <c r="D883" s="65"/>
      <c r="E883" s="65"/>
      <c r="F883" s="65"/>
      <c r="G883" s="65"/>
      <c r="H883" s="65"/>
      <c r="I883" s="65"/>
    </row>
    <row r="885" spans="1:10" ht="48">
      <c r="A885" s="42" t="s">
        <v>1</v>
      </c>
      <c r="B885" s="43" t="str">
        <f>"Nazwa urządzenia"</f>
        <v>Nazwa urządzenia</v>
      </c>
      <c r="C885" s="43" t="str">
        <f>"Typ"</f>
        <v>Typ</v>
      </c>
      <c r="D885" s="43" t="str">
        <f>"Nr Seryjny"</f>
        <v>Nr Seryjny</v>
      </c>
      <c r="E885" s="43" t="str">
        <f>"Jednostka Organizacyjna"</f>
        <v>Jednostka Organizacyjna</v>
      </c>
      <c r="F885" s="43" t="str">
        <f>"Rok Produkcji"</f>
        <v>Rok Produkcji</v>
      </c>
      <c r="G885" s="43" t="str">
        <f>"Producent"</f>
        <v>Producent</v>
      </c>
      <c r="H885" s="43" t="str">
        <f>"Częst. przeglądu"</f>
        <v>Częst. przeglądu</v>
      </c>
      <c r="I885" s="43" t="s">
        <v>117</v>
      </c>
      <c r="J885" s="46"/>
    </row>
    <row r="886" spans="1:10" ht="51">
      <c r="A886" s="51" t="s">
        <v>2</v>
      </c>
      <c r="B886" s="43" t="str">
        <f aca="true" t="shared" si="61" ref="B886:B892">"Pulsoksymetr"</f>
        <v>Pulsoksymetr</v>
      </c>
      <c r="C886" s="43" t="str">
        <f>"504 Plus"</f>
        <v>504 Plus</v>
      </c>
      <c r="D886" s="43" t="str">
        <f>"126-EJ5059 + 402-008672 "</f>
        <v>126-EJ5059 + 402-008672 </v>
      </c>
      <c r="E886" s="43" t="str">
        <f>"Oddz. Klin.Gastroent.Hepatologii,Ch.Metab"</f>
        <v>Oddz. Klin.Gastroent.Hepatologii,Ch.Metab</v>
      </c>
      <c r="F886" s="43">
        <v>2003</v>
      </c>
      <c r="G886" s="43" t="str">
        <f>"Criticare System Inc."</f>
        <v>Criticare System Inc.</v>
      </c>
      <c r="H886" s="43" t="str">
        <f aca="true" t="shared" si="62" ref="H886:H897">"12 mies."</f>
        <v>12 mies.</v>
      </c>
      <c r="I886" s="2" t="s">
        <v>286</v>
      </c>
      <c r="J886" s="46"/>
    </row>
    <row r="887" spans="1:10" ht="51">
      <c r="A887" s="51" t="s">
        <v>3</v>
      </c>
      <c r="B887" s="43" t="str">
        <f t="shared" si="61"/>
        <v>Pulsoksymetr</v>
      </c>
      <c r="C887" s="43" t="str">
        <f>"-brak-"</f>
        <v>-brak-</v>
      </c>
      <c r="D887" s="43" t="str">
        <f>"RIEF 031282"</f>
        <v>RIEF 031282</v>
      </c>
      <c r="E887" s="43" t="s">
        <v>0</v>
      </c>
      <c r="F887" s="43"/>
      <c r="G887" s="43" t="str">
        <f>"LNOPDCI"</f>
        <v>LNOPDCI</v>
      </c>
      <c r="H887" s="43" t="str">
        <f t="shared" si="62"/>
        <v>12 mies.</v>
      </c>
      <c r="I887" s="2" t="s">
        <v>286</v>
      </c>
      <c r="J887" s="46"/>
    </row>
    <row r="888" spans="1:10" ht="51">
      <c r="A888" s="51" t="s">
        <v>4</v>
      </c>
      <c r="B888" s="43" t="str">
        <f t="shared" si="61"/>
        <v>Pulsoksymetr</v>
      </c>
      <c r="C888" s="43" t="str">
        <f>"CX100"</f>
        <v>CX100</v>
      </c>
      <c r="D888" s="43" t="str">
        <f>"0A009A0322 "</f>
        <v>0A009A0322 </v>
      </c>
      <c r="E888" s="43" t="str">
        <f>"Oddz.Klin. Neonatologiczny z Oddz. ITN"</f>
        <v>Oddz.Klin. Neonatologiczny z Oddz. ITN</v>
      </c>
      <c r="F888" s="43">
        <v>2009</v>
      </c>
      <c r="G888" s="43" t="str">
        <f>"Charmcare Co Ltd / Korea Płd"</f>
        <v>Charmcare Co Ltd / Korea Płd</v>
      </c>
      <c r="H888" s="43" t="str">
        <f t="shared" si="62"/>
        <v>12 mies.</v>
      </c>
      <c r="I888" s="2" t="s">
        <v>286</v>
      </c>
      <c r="J888" s="46"/>
    </row>
    <row r="889" spans="1:10" ht="51">
      <c r="A889" s="51" t="s">
        <v>5</v>
      </c>
      <c r="B889" s="43" t="str">
        <f t="shared" si="61"/>
        <v>Pulsoksymetr</v>
      </c>
      <c r="C889" s="43" t="str">
        <f>"CX100"</f>
        <v>CX100</v>
      </c>
      <c r="D889" s="43" t="str">
        <f>"0A009A0324 "</f>
        <v>0A009A0324 </v>
      </c>
      <c r="E889" s="43" t="str">
        <f>"Oddz.Klin. Neonatologiczny z Oddz. ITN"</f>
        <v>Oddz.Klin. Neonatologiczny z Oddz. ITN</v>
      </c>
      <c r="F889" s="43">
        <v>2009</v>
      </c>
      <c r="G889" s="43" t="str">
        <f>"Charmcare Co Ltd / Korea Płd"</f>
        <v>Charmcare Co Ltd / Korea Płd</v>
      </c>
      <c r="H889" s="43" t="str">
        <f t="shared" si="62"/>
        <v>12 mies.</v>
      </c>
      <c r="I889" s="2" t="s">
        <v>286</v>
      </c>
      <c r="J889" s="46"/>
    </row>
    <row r="890" spans="1:10" ht="51">
      <c r="A890" s="51" t="s">
        <v>6</v>
      </c>
      <c r="B890" s="43" t="str">
        <f t="shared" si="61"/>
        <v>Pulsoksymetr</v>
      </c>
      <c r="C890" s="43" t="str">
        <f>"Fingertip CMS50D"</f>
        <v>Fingertip CMS50D</v>
      </c>
      <c r="D890" s="43" t="str">
        <f>"09AJ147915 "</f>
        <v>09AJ147915 </v>
      </c>
      <c r="E890" s="43" t="str">
        <f>"Oddz. Klin. Otolaryng. z P-oddz. Ot.Dziec."</f>
        <v>Oddz. Klin. Otolaryng. z P-oddz. Ot.Dziec.</v>
      </c>
      <c r="F890" s="43">
        <v>2012</v>
      </c>
      <c r="G890" s="43" t="str">
        <f>"Conect Medical Systems"</f>
        <v>Conect Medical Systems</v>
      </c>
      <c r="H890" s="43" t="str">
        <f t="shared" si="62"/>
        <v>12 mies.</v>
      </c>
      <c r="I890" s="2" t="s">
        <v>286</v>
      </c>
      <c r="J890" s="46"/>
    </row>
    <row r="891" spans="1:10" ht="51">
      <c r="A891" s="51" t="s">
        <v>7</v>
      </c>
      <c r="B891" s="52" t="str">
        <f t="shared" si="61"/>
        <v>Pulsoksymetr</v>
      </c>
      <c r="C891" s="52" t="str">
        <f>"TruSat Oximeter"</f>
        <v>TruSat Oximeter</v>
      </c>
      <c r="D891" s="52" t="str">
        <f>"FCD06360031SA"</f>
        <v>FCD06360031SA</v>
      </c>
      <c r="E891" s="52" t="str">
        <f>"Dział Anestezjologii"</f>
        <v>Dział Anestezjologii</v>
      </c>
      <c r="F891" s="52">
        <v>2006</v>
      </c>
      <c r="G891" s="52" t="str">
        <f>"GE Healthcare Finland"</f>
        <v>GE Healthcare Finland</v>
      </c>
      <c r="H891" s="52" t="str">
        <f t="shared" si="62"/>
        <v>12 mies.</v>
      </c>
      <c r="I891" s="2" t="s">
        <v>286</v>
      </c>
      <c r="J891" s="46"/>
    </row>
    <row r="892" spans="1:10" ht="51">
      <c r="A892" s="51" t="s">
        <v>8</v>
      </c>
      <c r="B892" s="43" t="str">
        <f t="shared" si="61"/>
        <v>Pulsoksymetr</v>
      </c>
      <c r="C892" s="43" t="str">
        <f>"TruSat Oximetr"</f>
        <v>TruSat Oximetr</v>
      </c>
      <c r="D892" s="43" t="str">
        <f>"FCDH10135"</f>
        <v>FCDH10135</v>
      </c>
      <c r="E892" s="43" t="str">
        <f>"Dział Anestezjologii"</f>
        <v>Dział Anestezjologii</v>
      </c>
      <c r="F892" s="43">
        <v>2004</v>
      </c>
      <c r="G892" s="43" t="str">
        <f>"DATEX - OHMEDA"</f>
        <v>DATEX - OHMEDA</v>
      </c>
      <c r="H892" s="43" t="str">
        <f t="shared" si="62"/>
        <v>12 mies.</v>
      </c>
      <c r="I892" s="2" t="s">
        <v>286</v>
      </c>
      <c r="J892" s="46"/>
    </row>
    <row r="893" spans="1:10" ht="51">
      <c r="A893" s="51" t="s">
        <v>9</v>
      </c>
      <c r="B893" s="43" t="str">
        <f>"Pulsoksymetr transportowy"</f>
        <v>Pulsoksymetr transportowy</v>
      </c>
      <c r="C893" s="43" t="str">
        <f>"C30"</f>
        <v>C30</v>
      </c>
      <c r="D893" s="43" t="str">
        <f>"0A411A0069"</f>
        <v>0A411A0069</v>
      </c>
      <c r="E893" s="43" t="str">
        <f>"Pracownia Rezonansu Magnetycznego"</f>
        <v>Pracownia Rezonansu Magnetycznego</v>
      </c>
      <c r="F893" s="43">
        <v>2011</v>
      </c>
      <c r="G893" s="43" t="str">
        <f>"Charmcare Co Ltd / Korea Płd"</f>
        <v>Charmcare Co Ltd / Korea Płd</v>
      </c>
      <c r="H893" s="43" t="str">
        <f t="shared" si="62"/>
        <v>12 mies.</v>
      </c>
      <c r="I893" s="2" t="s">
        <v>286</v>
      </c>
      <c r="J893" s="46"/>
    </row>
    <row r="894" spans="1:10" ht="51">
      <c r="A894" s="51" t="s">
        <v>10</v>
      </c>
      <c r="B894" s="43" t="str">
        <f>"Pulsoksymetr transportowy"</f>
        <v>Pulsoksymetr transportowy</v>
      </c>
      <c r="C894" s="43" t="str">
        <f>"Mindray PM-60"</f>
        <v>Mindray PM-60</v>
      </c>
      <c r="D894" s="43" t="str">
        <f>"17132632 "</f>
        <v>17132632 </v>
      </c>
      <c r="E894" s="43" t="str">
        <f>"Oddz. Klin. Intensywnej Terapii Dziecięcej"</f>
        <v>Oddz. Klin. Intensywnej Terapii Dziecięcej</v>
      </c>
      <c r="F894" s="43">
        <v>2012</v>
      </c>
      <c r="G894" s="43" t="str">
        <f>"Mindray"</f>
        <v>Mindray</v>
      </c>
      <c r="H894" s="43" t="str">
        <f t="shared" si="62"/>
        <v>12 mies.</v>
      </c>
      <c r="I894" s="2" t="s">
        <v>286</v>
      </c>
      <c r="J894" s="46"/>
    </row>
    <row r="895" spans="1:10" ht="51">
      <c r="A895" s="51" t="s">
        <v>11</v>
      </c>
      <c r="B895" s="43" t="str">
        <f>"Pulsoksymetr transportowy"</f>
        <v>Pulsoksymetr transportowy</v>
      </c>
      <c r="C895" s="43" t="str">
        <f>"Oxytrue"</f>
        <v>Oxytrue</v>
      </c>
      <c r="D895" s="43" t="str">
        <f>"60600254 "</f>
        <v>60600254 </v>
      </c>
      <c r="E895" s="43" t="str">
        <f>"Oddz. Klin. Intensywnej Terapii Dziecięcej"</f>
        <v>Oddz. Klin. Intensywnej Terapii Dziecięcej</v>
      </c>
      <c r="F895" s="43">
        <v>2012</v>
      </c>
      <c r="G895" s="43" t="str">
        <f>"Bluepoint Medical"</f>
        <v>Bluepoint Medical</v>
      </c>
      <c r="H895" s="43" t="str">
        <f t="shared" si="62"/>
        <v>12 mies.</v>
      </c>
      <c r="I895" s="2" t="s">
        <v>286</v>
      </c>
      <c r="J895" s="46"/>
    </row>
    <row r="896" spans="1:10" ht="51">
      <c r="A896" s="51" t="s">
        <v>12</v>
      </c>
      <c r="B896" s="43" t="str">
        <f>"Pulsoksymetr transportowy"</f>
        <v>Pulsoksymetr transportowy</v>
      </c>
      <c r="C896" s="43" t="str">
        <f>"Oxytrue"</f>
        <v>Oxytrue</v>
      </c>
      <c r="D896" s="43" t="str">
        <f>"40003163 "</f>
        <v>40003163 </v>
      </c>
      <c r="E896" s="43" t="str">
        <f>"Oddz.Klin. Neonatologiczny z Oddz. ITN"</f>
        <v>Oddz.Klin. Neonatologiczny z Oddz. ITN</v>
      </c>
      <c r="F896" s="43">
        <v>2010</v>
      </c>
      <c r="G896" s="43" t="str">
        <f>"Bluepoint Medical"</f>
        <v>Bluepoint Medical</v>
      </c>
      <c r="H896" s="43" t="str">
        <f t="shared" si="62"/>
        <v>12 mies.</v>
      </c>
      <c r="I896" s="2" t="s">
        <v>286</v>
      </c>
      <c r="J896" s="46"/>
    </row>
    <row r="897" spans="1:10" ht="51">
      <c r="A897" s="51" t="s">
        <v>13</v>
      </c>
      <c r="B897" s="43" t="str">
        <f>"Pulsoksymetr transportowy"</f>
        <v>Pulsoksymetr transportowy</v>
      </c>
      <c r="C897" s="43" t="str">
        <f>"Oxytrue"</f>
        <v>Oxytrue</v>
      </c>
      <c r="D897" s="43" t="str">
        <f>"40003103 "</f>
        <v>40003103 </v>
      </c>
      <c r="E897" s="43" t="str">
        <f>"Oddz.Klin. Neonatologiczny z Oddz. ITN"</f>
        <v>Oddz.Klin. Neonatologiczny z Oddz. ITN</v>
      </c>
      <c r="F897" s="43">
        <v>2010</v>
      </c>
      <c r="G897" s="43" t="str">
        <f>"Bluepoint Medical"</f>
        <v>Bluepoint Medical</v>
      </c>
      <c r="H897" s="43" t="str">
        <f t="shared" si="62"/>
        <v>12 mies.</v>
      </c>
      <c r="I897" s="2" t="s">
        <v>286</v>
      </c>
      <c r="J897" s="46"/>
    </row>
    <row r="898" spans="2:10" ht="15">
      <c r="B898" s="46"/>
      <c r="C898" s="46"/>
      <c r="D898" s="46"/>
      <c r="E898" s="46"/>
      <c r="F898" s="46"/>
      <c r="G898" s="46"/>
      <c r="H898" s="46"/>
      <c r="I898" s="37"/>
      <c r="J898" s="46"/>
    </row>
    <row r="899" spans="2:10" ht="15">
      <c r="B899" s="64" t="s">
        <v>114</v>
      </c>
      <c r="C899" s="64"/>
      <c r="G899" s="64" t="s">
        <v>115</v>
      </c>
      <c r="H899" s="64"/>
      <c r="I899" s="64"/>
      <c r="J899" s="46"/>
    </row>
    <row r="900" spans="2:10" ht="15">
      <c r="B900" s="46"/>
      <c r="C900" s="46"/>
      <c r="D900" s="46"/>
      <c r="E900" s="46"/>
      <c r="F900" s="46"/>
      <c r="G900" s="46"/>
      <c r="H900" s="46"/>
      <c r="I900" s="37"/>
      <c r="J900" s="46"/>
    </row>
    <row r="901" spans="2:10" ht="15">
      <c r="B901" s="46"/>
      <c r="C901" s="46"/>
      <c r="D901" s="46"/>
      <c r="E901" s="46"/>
      <c r="F901" s="46"/>
      <c r="G901" s="46"/>
      <c r="H901" s="46"/>
      <c r="I901" s="37"/>
      <c r="J901" s="46"/>
    </row>
    <row r="902" spans="2:10" ht="15">
      <c r="B902" s="46"/>
      <c r="C902" s="46"/>
      <c r="D902" s="46"/>
      <c r="E902" s="46"/>
      <c r="F902" s="46"/>
      <c r="G902" s="46"/>
      <c r="H902" s="46"/>
      <c r="I902" s="37"/>
      <c r="J902" s="46"/>
    </row>
    <row r="903" spans="2:10" ht="15">
      <c r="B903" s="46"/>
      <c r="C903" s="46"/>
      <c r="D903" s="46"/>
      <c r="E903" s="46"/>
      <c r="F903" s="46"/>
      <c r="G903" s="46"/>
      <c r="H903" s="46"/>
      <c r="I903" s="37"/>
      <c r="J903" s="46"/>
    </row>
    <row r="904" spans="1:10" ht="15">
      <c r="A904" s="65" t="s">
        <v>313</v>
      </c>
      <c r="B904" s="65"/>
      <c r="C904" s="65"/>
      <c r="D904" s="65"/>
      <c r="E904" s="65"/>
      <c r="F904" s="65"/>
      <c r="G904" s="65"/>
      <c r="H904" s="65"/>
      <c r="I904" s="65"/>
      <c r="J904" s="46"/>
    </row>
    <row r="905" spans="2:10" ht="15">
      <c r="B905" s="46"/>
      <c r="C905" s="46"/>
      <c r="D905" s="46"/>
      <c r="E905" s="46"/>
      <c r="F905" s="46"/>
      <c r="G905" s="46"/>
      <c r="H905" s="46"/>
      <c r="I905" s="46"/>
      <c r="J905" s="46"/>
    </row>
    <row r="906" spans="1:10" ht="48">
      <c r="A906" s="42" t="s">
        <v>1</v>
      </c>
      <c r="B906" s="43" t="str">
        <f>"Nazwa urządzenia"</f>
        <v>Nazwa urządzenia</v>
      </c>
      <c r="C906" s="43" t="str">
        <f>"Typ"</f>
        <v>Typ</v>
      </c>
      <c r="D906" s="43" t="str">
        <f>"Nr Seryjny"</f>
        <v>Nr Seryjny</v>
      </c>
      <c r="E906" s="43" t="str">
        <f>"Jednostka Organizacyjna"</f>
        <v>Jednostka Organizacyjna</v>
      </c>
      <c r="F906" s="43" t="str">
        <f>"Rok Produkcji"</f>
        <v>Rok Produkcji</v>
      </c>
      <c r="G906" s="43" t="str">
        <f>"Producent"</f>
        <v>Producent</v>
      </c>
      <c r="H906" s="43" t="str">
        <f>"Częst. przeglądu"</f>
        <v>Częst. przeglądu</v>
      </c>
      <c r="I906" s="43" t="s">
        <v>117</v>
      </c>
      <c r="J906" s="46"/>
    </row>
    <row r="907" spans="1:10" ht="51">
      <c r="A907" s="51" t="s">
        <v>2</v>
      </c>
      <c r="B907" s="43" t="str">
        <f aca="true" t="shared" si="63" ref="B907:B913">"Pulsoksymetr"</f>
        <v>Pulsoksymetr</v>
      </c>
      <c r="C907" s="43" t="str">
        <f>"N-395"</f>
        <v>N-395</v>
      </c>
      <c r="D907" s="43" t="str">
        <f>"G02809699"</f>
        <v>G02809699</v>
      </c>
      <c r="E907" s="43" t="str">
        <f>"Oddz. Klin. Chirurgii Szczękowo-Twarzowej"</f>
        <v>Oddz. Klin. Chirurgii Szczękowo-Twarzowej</v>
      </c>
      <c r="F907" s="43">
        <v>2002</v>
      </c>
      <c r="G907" s="43" t="str">
        <f aca="true" t="shared" si="64" ref="G907:G913">"Nellcor - TYCO"</f>
        <v>Nellcor - TYCO</v>
      </c>
      <c r="H907" s="43" t="str">
        <f aca="true" t="shared" si="65" ref="H907:H913">"12 mies."</f>
        <v>12 mies.</v>
      </c>
      <c r="I907" s="2" t="s">
        <v>286</v>
      </c>
      <c r="J907" s="46"/>
    </row>
    <row r="908" spans="1:10" ht="51">
      <c r="A908" s="51" t="s">
        <v>3</v>
      </c>
      <c r="B908" s="43" t="str">
        <f t="shared" si="63"/>
        <v>Pulsoksymetr</v>
      </c>
      <c r="C908" s="43" t="str">
        <f>"N-560 OxiMax"</f>
        <v>N-560 OxiMax</v>
      </c>
      <c r="D908" s="43" t="str">
        <f>"P1020605742"</f>
        <v>P1020605742</v>
      </c>
      <c r="E908" s="43" t="str">
        <f>"Oddz.Klin. Neonatologiczny z Oddz. ITN"</f>
        <v>Oddz.Klin. Neonatologiczny z Oddz. ITN</v>
      </c>
      <c r="F908" s="43">
        <v>2002</v>
      </c>
      <c r="G908" s="43" t="str">
        <f t="shared" si="64"/>
        <v>Nellcor - TYCO</v>
      </c>
      <c r="H908" s="43" t="str">
        <f t="shared" si="65"/>
        <v>12 mies.</v>
      </c>
      <c r="I908" s="2" t="s">
        <v>286</v>
      </c>
      <c r="J908" s="46"/>
    </row>
    <row r="909" spans="1:10" ht="51">
      <c r="A909" s="51" t="s">
        <v>4</v>
      </c>
      <c r="B909" s="43" t="str">
        <f t="shared" si="63"/>
        <v>Pulsoksymetr</v>
      </c>
      <c r="C909" s="43" t="str">
        <f>"N-560 OxiMax"</f>
        <v>N-560 OxiMax</v>
      </c>
      <c r="D909" s="43" t="str">
        <f>"P1020605794"</f>
        <v>P1020605794</v>
      </c>
      <c r="E909" s="43" t="str">
        <f>"Oddz.Klin. Neonatologiczny z Oddz. ITN"</f>
        <v>Oddz.Klin. Neonatologiczny z Oddz. ITN</v>
      </c>
      <c r="F909" s="43">
        <v>2002</v>
      </c>
      <c r="G909" s="43" t="str">
        <f t="shared" si="64"/>
        <v>Nellcor - TYCO</v>
      </c>
      <c r="H909" s="43" t="str">
        <f t="shared" si="65"/>
        <v>12 mies.</v>
      </c>
      <c r="I909" s="2" t="s">
        <v>286</v>
      </c>
      <c r="J909" s="46"/>
    </row>
    <row r="910" spans="1:10" ht="51">
      <c r="A910" s="51" t="s">
        <v>5</v>
      </c>
      <c r="B910" s="43" t="str">
        <f t="shared" si="63"/>
        <v>Pulsoksymetr</v>
      </c>
      <c r="C910" s="43" t="str">
        <f>"N-560 OxiMax"</f>
        <v>N-560 OxiMax</v>
      </c>
      <c r="D910" s="43" t="str">
        <f>"SNP1030200513"</f>
        <v>SNP1030200513</v>
      </c>
      <c r="E910" s="43" t="str">
        <f>"Oddz.Klin. Neonatologiczny z Oddz. ITN"</f>
        <v>Oddz.Klin. Neonatologiczny z Oddz. ITN</v>
      </c>
      <c r="F910" s="43">
        <v>2004</v>
      </c>
      <c r="G910" s="43" t="str">
        <f t="shared" si="64"/>
        <v>Nellcor - TYCO</v>
      </c>
      <c r="H910" s="43" t="str">
        <f t="shared" si="65"/>
        <v>12 mies.</v>
      </c>
      <c r="I910" s="2" t="s">
        <v>286</v>
      </c>
      <c r="J910" s="46"/>
    </row>
    <row r="911" spans="1:10" ht="51">
      <c r="A911" s="51" t="s">
        <v>6</v>
      </c>
      <c r="B911" s="43" t="str">
        <f t="shared" si="63"/>
        <v>Pulsoksymetr</v>
      </c>
      <c r="C911" s="43" t="str">
        <f>"N-560 OxiMax"</f>
        <v>N-560 OxiMax</v>
      </c>
      <c r="D911" s="43" t="str">
        <f>"P1020605738"</f>
        <v>P1020605738</v>
      </c>
      <c r="E911" s="43" t="str">
        <f>"Oddz.Klin. Neonatologiczny z Oddz. ITN"</f>
        <v>Oddz.Klin. Neonatologiczny z Oddz. ITN</v>
      </c>
      <c r="F911" s="43">
        <v>2002</v>
      </c>
      <c r="G911" s="43" t="str">
        <f t="shared" si="64"/>
        <v>Nellcor - TYCO</v>
      </c>
      <c r="H911" s="43" t="str">
        <f t="shared" si="65"/>
        <v>12 mies.</v>
      </c>
      <c r="I911" s="2" t="s">
        <v>286</v>
      </c>
      <c r="J911" s="46"/>
    </row>
    <row r="912" spans="1:10" ht="51">
      <c r="A912" s="51" t="s">
        <v>7</v>
      </c>
      <c r="B912" s="43" t="str">
        <f t="shared" si="63"/>
        <v>Pulsoksymetr</v>
      </c>
      <c r="C912" s="43" t="str">
        <f>"N-560 OxiMax"</f>
        <v>N-560 OxiMax</v>
      </c>
      <c r="D912" s="43" t="str">
        <f>"P1030400984 "</f>
        <v>P1030400984 </v>
      </c>
      <c r="E912" s="43" t="str">
        <f>"Pracownia Tomografii Komputerowej"</f>
        <v>Pracownia Tomografii Komputerowej</v>
      </c>
      <c r="F912" s="43">
        <v>2004</v>
      </c>
      <c r="G912" s="43" t="str">
        <f t="shared" si="64"/>
        <v>Nellcor - TYCO</v>
      </c>
      <c r="H912" s="43" t="str">
        <f t="shared" si="65"/>
        <v>12 mies.</v>
      </c>
      <c r="I912" s="2" t="s">
        <v>286</v>
      </c>
      <c r="J912" s="46"/>
    </row>
    <row r="913" spans="1:10" ht="51">
      <c r="A913" s="51" t="s">
        <v>8</v>
      </c>
      <c r="B913" s="43" t="str">
        <f t="shared" si="63"/>
        <v>Pulsoksymetr</v>
      </c>
      <c r="C913" s="43" t="str">
        <f>"W-600X-1"</f>
        <v>W-600X-1</v>
      </c>
      <c r="D913" s="43" t="str">
        <f>"G08807070 "</f>
        <v>G08807070 </v>
      </c>
      <c r="E913" s="43" t="str">
        <f>"Oddz.Klin. Neonatologiczny z Oddz. ITN"</f>
        <v>Oddz.Klin. Neonatologiczny z Oddz. ITN</v>
      </c>
      <c r="F913" s="43">
        <v>2002</v>
      </c>
      <c r="G913" s="43" t="str">
        <f t="shared" si="64"/>
        <v>Nellcor - TYCO</v>
      </c>
      <c r="H913" s="43" t="str">
        <f t="shared" si="65"/>
        <v>12 mies.</v>
      </c>
      <c r="I913" s="2" t="s">
        <v>286</v>
      </c>
      <c r="J913" s="46"/>
    </row>
    <row r="914" spans="2:10" ht="15">
      <c r="B914" s="46"/>
      <c r="C914" s="46"/>
      <c r="D914" s="46"/>
      <c r="E914" s="46"/>
      <c r="F914" s="46"/>
      <c r="G914" s="46"/>
      <c r="H914" s="46"/>
      <c r="I914" s="46"/>
      <c r="J914" s="46"/>
    </row>
    <row r="915" spans="2:10" ht="15" customHeight="1">
      <c r="B915" s="64" t="s">
        <v>114</v>
      </c>
      <c r="C915" s="64"/>
      <c r="G915" s="64" t="s">
        <v>115</v>
      </c>
      <c r="H915" s="64"/>
      <c r="I915" s="64"/>
      <c r="J915" s="46"/>
    </row>
    <row r="916" spans="2:10" ht="15" customHeight="1">
      <c r="B916" s="28"/>
      <c r="C916" s="28"/>
      <c r="G916" s="28"/>
      <c r="H916" s="28"/>
      <c r="I916" s="28"/>
      <c r="J916" s="46"/>
    </row>
    <row r="917" spans="2:10" ht="15" customHeight="1">
      <c r="B917" s="28"/>
      <c r="C917" s="28"/>
      <c r="G917" s="28"/>
      <c r="H917" s="28"/>
      <c r="I917" s="28"/>
      <c r="J917" s="46"/>
    </row>
    <row r="918" spans="2:10" ht="15" customHeight="1">
      <c r="B918" s="28"/>
      <c r="C918" s="28"/>
      <c r="G918" s="28"/>
      <c r="H918" s="28"/>
      <c r="I918" s="28"/>
      <c r="J918" s="46"/>
    </row>
    <row r="919" spans="2:10" ht="15" customHeight="1">
      <c r="B919" s="28"/>
      <c r="C919" s="28"/>
      <c r="G919" s="28"/>
      <c r="H919" s="28"/>
      <c r="I919" s="28"/>
      <c r="J919" s="46"/>
    </row>
    <row r="920" spans="1:10" ht="15" customHeight="1">
      <c r="A920" s="65" t="s">
        <v>314</v>
      </c>
      <c r="B920" s="65"/>
      <c r="C920" s="65"/>
      <c r="D920" s="65"/>
      <c r="E920" s="65"/>
      <c r="F920" s="65"/>
      <c r="G920" s="65"/>
      <c r="H920" s="65"/>
      <c r="I920" s="65"/>
      <c r="J920" s="46"/>
    </row>
    <row r="921" spans="2:10" ht="15">
      <c r="B921" s="46"/>
      <c r="C921" s="46"/>
      <c r="D921" s="46"/>
      <c r="E921" s="46"/>
      <c r="F921" s="46"/>
      <c r="G921" s="46"/>
      <c r="H921" s="46"/>
      <c r="I921" s="46"/>
      <c r="J921" s="46"/>
    </row>
    <row r="922" spans="1:10" ht="48">
      <c r="A922" s="42" t="s">
        <v>1</v>
      </c>
      <c r="B922" s="43" t="str">
        <f>"Nazwa urządzenia"</f>
        <v>Nazwa urządzenia</v>
      </c>
      <c r="C922" s="43" t="str">
        <f>"Typ"</f>
        <v>Typ</v>
      </c>
      <c r="D922" s="43" t="str">
        <f>"Nr Seryjny"</f>
        <v>Nr Seryjny</v>
      </c>
      <c r="E922" s="43" t="str">
        <f>"Jednostka Organizacyjna"</f>
        <v>Jednostka Organizacyjna</v>
      </c>
      <c r="F922" s="43" t="str">
        <f>"Rok Produkcji"</f>
        <v>Rok Produkcji</v>
      </c>
      <c r="G922" s="43" t="str">
        <f>"Producent"</f>
        <v>Producent</v>
      </c>
      <c r="H922" s="43" t="str">
        <f>"Częst. przeglądu"</f>
        <v>Częst. przeglądu</v>
      </c>
      <c r="I922" s="43" t="s">
        <v>117</v>
      </c>
      <c r="J922" s="46"/>
    </row>
    <row r="923" spans="1:10" ht="51">
      <c r="A923" s="51" t="s">
        <v>2</v>
      </c>
      <c r="B923" s="43" t="str">
        <f aca="true" t="shared" si="66" ref="B923:B933">"Pulsoksymetr"</f>
        <v>Pulsoksymetr</v>
      </c>
      <c r="C923" s="43" t="str">
        <f>"Nowametrix"</f>
        <v>Nowametrix</v>
      </c>
      <c r="D923" s="43" t="str">
        <f>"77/7299LPR "</f>
        <v>77/7299LPR </v>
      </c>
      <c r="E923" s="43" t="str">
        <f>"Oddz. Klin. Anestezjologii i Inten.Terapii"</f>
        <v>Oddz. Klin. Anestezjologii i Inten.Terapii</v>
      </c>
      <c r="F923" s="43">
        <v>1999</v>
      </c>
      <c r="G923" s="43" t="str">
        <f aca="true" t="shared" si="67" ref="G923:G933">"Novametrix"</f>
        <v>Novametrix</v>
      </c>
      <c r="H923" s="43" t="str">
        <f aca="true" t="shared" si="68" ref="H923:H933">"12 mies."</f>
        <v>12 mies.</v>
      </c>
      <c r="I923" s="2" t="s">
        <v>286</v>
      </c>
      <c r="J923" s="46"/>
    </row>
    <row r="924" spans="1:10" ht="51">
      <c r="A924" s="51" t="s">
        <v>3</v>
      </c>
      <c r="B924" s="43" t="str">
        <f t="shared" si="66"/>
        <v>Pulsoksymetr</v>
      </c>
      <c r="C924" s="43" t="str">
        <f>"Oxypleth 520"</f>
        <v>Oxypleth 520</v>
      </c>
      <c r="D924" s="43" t="str">
        <f>"5125 LPRZ "</f>
        <v>5125 LPRZ </v>
      </c>
      <c r="E924" s="43" t="str">
        <f>"Oddz. Klin. Neurochirurgiczny z P-oddz.IOM"</f>
        <v>Oddz. Klin. Neurochirurgiczny z P-oddz.IOM</v>
      </c>
      <c r="F924" s="43">
        <v>1995</v>
      </c>
      <c r="G924" s="43" t="str">
        <f t="shared" si="67"/>
        <v>Novametrix</v>
      </c>
      <c r="H924" s="43" t="str">
        <f t="shared" si="68"/>
        <v>12 mies.</v>
      </c>
      <c r="I924" s="2" t="s">
        <v>286</v>
      </c>
      <c r="J924" s="46"/>
    </row>
    <row r="925" spans="1:10" ht="51">
      <c r="A925" s="51" t="s">
        <v>4</v>
      </c>
      <c r="B925" s="43" t="str">
        <f t="shared" si="66"/>
        <v>Pulsoksymetr</v>
      </c>
      <c r="C925" s="43" t="str">
        <f aca="true" t="shared" si="69" ref="C925:C933">"OxyPleth 520-F"</f>
        <v>OxyPleth 520-F</v>
      </c>
      <c r="D925" s="43" t="str">
        <f>"77-25516 "</f>
        <v>77-25516 </v>
      </c>
      <c r="E925" s="43" t="str">
        <f aca="true" t="shared" si="70" ref="E925:E933">"Oddz.Klin. Neonatologiczny z Oddz. ITN"</f>
        <v>Oddz.Klin. Neonatologiczny z Oddz. ITN</v>
      </c>
      <c r="F925" s="43">
        <v>2011</v>
      </c>
      <c r="G925" s="43" t="str">
        <f t="shared" si="67"/>
        <v>Novametrix</v>
      </c>
      <c r="H925" s="43" t="str">
        <f t="shared" si="68"/>
        <v>12 mies.</v>
      </c>
      <c r="I925" s="2" t="s">
        <v>286</v>
      </c>
      <c r="J925" s="46"/>
    </row>
    <row r="926" spans="1:10" ht="51">
      <c r="A926" s="51" t="s">
        <v>5</v>
      </c>
      <c r="B926" s="43" t="str">
        <f t="shared" si="66"/>
        <v>Pulsoksymetr</v>
      </c>
      <c r="C926" s="43" t="str">
        <f t="shared" si="69"/>
        <v>OxyPleth 520-F</v>
      </c>
      <c r="D926" s="43" t="str">
        <f>"77-25513 "</f>
        <v>77-25513 </v>
      </c>
      <c r="E926" s="43" t="str">
        <f t="shared" si="70"/>
        <v>Oddz.Klin. Neonatologiczny z Oddz. ITN</v>
      </c>
      <c r="F926" s="43">
        <v>2011</v>
      </c>
      <c r="G926" s="43" t="str">
        <f t="shared" si="67"/>
        <v>Novametrix</v>
      </c>
      <c r="H926" s="43" t="str">
        <f t="shared" si="68"/>
        <v>12 mies.</v>
      </c>
      <c r="I926" s="2" t="s">
        <v>286</v>
      </c>
      <c r="J926" s="46"/>
    </row>
    <row r="927" spans="1:10" ht="51">
      <c r="A927" s="51" t="s">
        <v>6</v>
      </c>
      <c r="B927" s="43" t="str">
        <f t="shared" si="66"/>
        <v>Pulsoksymetr</v>
      </c>
      <c r="C927" s="43" t="str">
        <f t="shared" si="69"/>
        <v>OxyPleth 520-F</v>
      </c>
      <c r="D927" s="43" t="str">
        <f>"77-25523 "</f>
        <v>77-25523 </v>
      </c>
      <c r="E927" s="43" t="str">
        <f t="shared" si="70"/>
        <v>Oddz.Klin. Neonatologiczny z Oddz. ITN</v>
      </c>
      <c r="F927" s="43">
        <v>2011</v>
      </c>
      <c r="G927" s="43" t="str">
        <f t="shared" si="67"/>
        <v>Novametrix</v>
      </c>
      <c r="H927" s="43" t="str">
        <f t="shared" si="68"/>
        <v>12 mies.</v>
      </c>
      <c r="I927" s="2" t="s">
        <v>286</v>
      </c>
      <c r="J927" s="46"/>
    </row>
    <row r="928" spans="1:10" ht="51">
      <c r="A928" s="51" t="s">
        <v>7</v>
      </c>
      <c r="B928" s="43" t="str">
        <f t="shared" si="66"/>
        <v>Pulsoksymetr</v>
      </c>
      <c r="C928" s="43" t="str">
        <f t="shared" si="69"/>
        <v>OxyPleth 520-F</v>
      </c>
      <c r="D928" s="43" t="str">
        <f>"77-25515 "</f>
        <v>77-25515 </v>
      </c>
      <c r="E928" s="43" t="str">
        <f t="shared" si="70"/>
        <v>Oddz.Klin. Neonatologiczny z Oddz. ITN</v>
      </c>
      <c r="F928" s="43">
        <v>2011</v>
      </c>
      <c r="G928" s="43" t="str">
        <f t="shared" si="67"/>
        <v>Novametrix</v>
      </c>
      <c r="H928" s="43" t="str">
        <f t="shared" si="68"/>
        <v>12 mies.</v>
      </c>
      <c r="I928" s="2" t="s">
        <v>286</v>
      </c>
      <c r="J928" s="46"/>
    </row>
    <row r="929" spans="1:10" ht="51">
      <c r="A929" s="51" t="s">
        <v>8</v>
      </c>
      <c r="B929" s="43" t="str">
        <f t="shared" si="66"/>
        <v>Pulsoksymetr</v>
      </c>
      <c r="C929" s="43" t="str">
        <f t="shared" si="69"/>
        <v>OxyPleth 520-F</v>
      </c>
      <c r="D929" s="43" t="str">
        <f>"77-25414 "</f>
        <v>77-25414 </v>
      </c>
      <c r="E929" s="43" t="str">
        <f t="shared" si="70"/>
        <v>Oddz.Klin. Neonatologiczny z Oddz. ITN</v>
      </c>
      <c r="F929" s="43">
        <v>2011</v>
      </c>
      <c r="G929" s="43" t="str">
        <f t="shared" si="67"/>
        <v>Novametrix</v>
      </c>
      <c r="H929" s="43" t="str">
        <f t="shared" si="68"/>
        <v>12 mies.</v>
      </c>
      <c r="I929" s="2" t="s">
        <v>286</v>
      </c>
      <c r="J929" s="46"/>
    </row>
    <row r="930" spans="1:10" ht="51">
      <c r="A930" s="51" t="s">
        <v>9</v>
      </c>
      <c r="B930" s="43" t="str">
        <f t="shared" si="66"/>
        <v>Pulsoksymetr</v>
      </c>
      <c r="C930" s="43" t="str">
        <f t="shared" si="69"/>
        <v>OxyPleth 520-F</v>
      </c>
      <c r="D930" s="43" t="str">
        <f>"77-25426 "</f>
        <v>77-25426 </v>
      </c>
      <c r="E930" s="43" t="str">
        <f t="shared" si="70"/>
        <v>Oddz.Klin. Neonatologiczny z Oddz. ITN</v>
      </c>
      <c r="F930" s="43">
        <v>2011</v>
      </c>
      <c r="G930" s="43" t="str">
        <f t="shared" si="67"/>
        <v>Novametrix</v>
      </c>
      <c r="H930" s="43" t="str">
        <f t="shared" si="68"/>
        <v>12 mies.</v>
      </c>
      <c r="I930" s="2" t="s">
        <v>286</v>
      </c>
      <c r="J930" s="46"/>
    </row>
    <row r="931" spans="1:10" ht="51">
      <c r="A931" s="51" t="s">
        <v>10</v>
      </c>
      <c r="B931" s="43" t="str">
        <f t="shared" si="66"/>
        <v>Pulsoksymetr</v>
      </c>
      <c r="C931" s="43" t="str">
        <f t="shared" si="69"/>
        <v>OxyPleth 520-F</v>
      </c>
      <c r="D931" s="43" t="str">
        <f>"77-25509 "</f>
        <v>77-25509 </v>
      </c>
      <c r="E931" s="43" t="str">
        <f t="shared" si="70"/>
        <v>Oddz.Klin. Neonatologiczny z Oddz. ITN</v>
      </c>
      <c r="F931" s="43">
        <v>2011</v>
      </c>
      <c r="G931" s="43" t="str">
        <f t="shared" si="67"/>
        <v>Novametrix</v>
      </c>
      <c r="H931" s="43" t="str">
        <f t="shared" si="68"/>
        <v>12 mies.</v>
      </c>
      <c r="I931" s="2" t="s">
        <v>286</v>
      </c>
      <c r="J931" s="46"/>
    </row>
    <row r="932" spans="1:10" ht="51">
      <c r="A932" s="51" t="s">
        <v>11</v>
      </c>
      <c r="B932" s="43" t="str">
        <f t="shared" si="66"/>
        <v>Pulsoksymetr</v>
      </c>
      <c r="C932" s="43" t="str">
        <f t="shared" si="69"/>
        <v>OxyPleth 520-F</v>
      </c>
      <c r="D932" s="43" t="str">
        <f>"77-25415 "</f>
        <v>77-25415 </v>
      </c>
      <c r="E932" s="43" t="str">
        <f t="shared" si="70"/>
        <v>Oddz.Klin. Neonatologiczny z Oddz. ITN</v>
      </c>
      <c r="F932" s="43">
        <v>2011</v>
      </c>
      <c r="G932" s="43" t="str">
        <f t="shared" si="67"/>
        <v>Novametrix</v>
      </c>
      <c r="H932" s="43" t="str">
        <f t="shared" si="68"/>
        <v>12 mies.</v>
      </c>
      <c r="I932" s="2" t="s">
        <v>286</v>
      </c>
      <c r="J932" s="46"/>
    </row>
    <row r="933" spans="1:10" ht="51">
      <c r="A933" s="51" t="s">
        <v>12</v>
      </c>
      <c r="B933" s="43" t="str">
        <f t="shared" si="66"/>
        <v>Pulsoksymetr</v>
      </c>
      <c r="C933" s="43" t="str">
        <f t="shared" si="69"/>
        <v>OxyPleth 520-F</v>
      </c>
      <c r="D933" s="43" t="str">
        <f>"77-25521 "</f>
        <v>77-25521 </v>
      </c>
      <c r="E933" s="43" t="str">
        <f t="shared" si="70"/>
        <v>Oddz.Klin. Neonatologiczny z Oddz. ITN</v>
      </c>
      <c r="F933" s="43">
        <v>2011</v>
      </c>
      <c r="G933" s="43" t="str">
        <f t="shared" si="67"/>
        <v>Novametrix</v>
      </c>
      <c r="H933" s="43" t="str">
        <f t="shared" si="68"/>
        <v>12 mies.</v>
      </c>
      <c r="I933" s="2" t="s">
        <v>286</v>
      </c>
      <c r="J933" s="46"/>
    </row>
    <row r="934" spans="2:10" ht="15">
      <c r="B934" s="46"/>
      <c r="C934" s="46"/>
      <c r="D934" s="46"/>
      <c r="E934" s="46"/>
      <c r="F934" s="46"/>
      <c r="G934" s="46"/>
      <c r="H934" s="46"/>
      <c r="I934" s="46"/>
      <c r="J934" s="46"/>
    </row>
    <row r="935" spans="2:10" ht="15">
      <c r="B935" s="64" t="s">
        <v>114</v>
      </c>
      <c r="C935" s="64"/>
      <c r="G935" s="64" t="s">
        <v>115</v>
      </c>
      <c r="H935" s="64"/>
      <c r="I935" s="64"/>
      <c r="J935" s="46"/>
    </row>
    <row r="936" spans="2:10" ht="15">
      <c r="B936" s="28"/>
      <c r="C936" s="28"/>
      <c r="G936" s="28"/>
      <c r="H936" s="28"/>
      <c r="I936" s="28"/>
      <c r="J936" s="46"/>
    </row>
    <row r="937" spans="2:10" ht="15">
      <c r="B937" s="28"/>
      <c r="C937" s="28"/>
      <c r="G937" s="28"/>
      <c r="H937" s="28"/>
      <c r="I937" s="28"/>
      <c r="J937" s="46"/>
    </row>
    <row r="938" spans="2:10" ht="15">
      <c r="B938" s="28"/>
      <c r="C938" s="28"/>
      <c r="G938" s="28"/>
      <c r="H938" s="28"/>
      <c r="I938" s="28"/>
      <c r="J938" s="46"/>
    </row>
    <row r="939" spans="2:10" ht="15">
      <c r="B939" s="46"/>
      <c r="C939" s="46"/>
      <c r="D939" s="46"/>
      <c r="E939" s="46"/>
      <c r="F939" s="46"/>
      <c r="G939" s="46"/>
      <c r="H939" s="46"/>
      <c r="I939" s="46"/>
      <c r="J939" s="46"/>
    </row>
    <row r="940" spans="1:10" ht="15">
      <c r="A940" s="65" t="s">
        <v>315</v>
      </c>
      <c r="B940" s="65"/>
      <c r="C940" s="65"/>
      <c r="D940" s="65"/>
      <c r="E940" s="65"/>
      <c r="F940" s="65"/>
      <c r="G940" s="65"/>
      <c r="H940" s="65"/>
      <c r="I940" s="65"/>
      <c r="J940" s="46"/>
    </row>
    <row r="941" spans="2:10" ht="15">
      <c r="B941" s="46"/>
      <c r="C941" s="46"/>
      <c r="D941" s="46"/>
      <c r="E941" s="46"/>
      <c r="F941" s="46"/>
      <c r="G941" s="46"/>
      <c r="H941" s="46"/>
      <c r="I941" s="46"/>
      <c r="J941" s="46"/>
    </row>
    <row r="942" spans="1:10" ht="48">
      <c r="A942" s="42" t="s">
        <v>1</v>
      </c>
      <c r="B942" s="43" t="str">
        <f>"Nazwa urządzenia"</f>
        <v>Nazwa urządzenia</v>
      </c>
      <c r="C942" s="43" t="str">
        <f>"Typ"</f>
        <v>Typ</v>
      </c>
      <c r="D942" s="43" t="str">
        <f>"Nr Seryjny"</f>
        <v>Nr Seryjny</v>
      </c>
      <c r="E942" s="43" t="str">
        <f>"Jednostka Organizacyjna"</f>
        <v>Jednostka Organizacyjna</v>
      </c>
      <c r="F942" s="43" t="str">
        <f>"Rok Produkcji"</f>
        <v>Rok Produkcji</v>
      </c>
      <c r="G942" s="43" t="str">
        <f>"Producent"</f>
        <v>Producent</v>
      </c>
      <c r="H942" s="43" t="str">
        <f>"Częst. przeglądu"</f>
        <v>Częst. przeglądu</v>
      </c>
      <c r="I942" s="43" t="s">
        <v>117</v>
      </c>
      <c r="J942" s="46"/>
    </row>
    <row r="943" spans="1:10" ht="24">
      <c r="A943" s="51" t="s">
        <v>2</v>
      </c>
      <c r="B943" s="43" t="str">
        <f aca="true" t="shared" si="71" ref="B943:B961">"Pulsoksymetr"</f>
        <v>Pulsoksymetr</v>
      </c>
      <c r="C943" s="43" t="str">
        <f aca="true" t="shared" si="72" ref="C943:C961">"Rad 5"</f>
        <v>Rad 5</v>
      </c>
      <c r="D943" s="43" t="str">
        <f>"N-90548"</f>
        <v>N-90548</v>
      </c>
      <c r="E943" s="43" t="str">
        <f>"Hematologia II (Przylądek Nadziei)"</f>
        <v>Hematologia II (Przylądek Nadziei)</v>
      </c>
      <c r="F943" s="43">
        <v>2015</v>
      </c>
      <c r="G943" s="43" t="str">
        <f aca="true" t="shared" si="73" ref="G943:G970">"MASSIMO"</f>
        <v>MASSIMO</v>
      </c>
      <c r="H943" s="43" t="str">
        <f aca="true" t="shared" si="74" ref="H943:H970">"12 mies."</f>
        <v>12 mies.</v>
      </c>
      <c r="I943" s="43" t="str">
        <f>"2018-11-20"</f>
        <v>2018-11-20</v>
      </c>
      <c r="J943" s="46"/>
    </row>
    <row r="944" spans="1:10" ht="51">
      <c r="A944" s="51" t="s">
        <v>3</v>
      </c>
      <c r="B944" s="43" t="str">
        <f t="shared" si="71"/>
        <v>Pulsoksymetr</v>
      </c>
      <c r="C944" s="43" t="str">
        <f t="shared" si="72"/>
        <v>Rad 5</v>
      </c>
      <c r="D944" s="43" t="str">
        <f>"N80048"</f>
        <v>N80048</v>
      </c>
      <c r="E944" s="43" t="str">
        <f>"Oddz. Klin. Chirurgii Szczękowo-Twarzowej"</f>
        <v>Oddz. Klin. Chirurgii Szczękowo-Twarzowej</v>
      </c>
      <c r="F944" s="43">
        <v>2014</v>
      </c>
      <c r="G944" s="43" t="str">
        <f t="shared" si="73"/>
        <v>MASSIMO</v>
      </c>
      <c r="H944" s="43" t="str">
        <f t="shared" si="74"/>
        <v>12 mies.</v>
      </c>
      <c r="I944" s="2" t="s">
        <v>286</v>
      </c>
      <c r="J944" s="46"/>
    </row>
    <row r="945" spans="1:10" ht="24">
      <c r="A945" s="51" t="s">
        <v>4</v>
      </c>
      <c r="B945" s="43" t="str">
        <f t="shared" si="71"/>
        <v>Pulsoksymetr</v>
      </c>
      <c r="C945" s="43" t="str">
        <f t="shared" si="72"/>
        <v>Rad 5</v>
      </c>
      <c r="D945" s="43" t="str">
        <f>"N30926 "</f>
        <v>N30926 </v>
      </c>
      <c r="E945" s="43" t="str">
        <f>"Oddz. Klin. Nefrologiczny"</f>
        <v>Oddz. Klin. Nefrologiczny</v>
      </c>
      <c r="F945" s="43">
        <v>2011</v>
      </c>
      <c r="G945" s="43" t="str">
        <f t="shared" si="73"/>
        <v>MASSIMO</v>
      </c>
      <c r="H945" s="43" t="str">
        <f t="shared" si="74"/>
        <v>12 mies.</v>
      </c>
      <c r="I945" s="43" t="str">
        <f>"2018-11-02"</f>
        <v>2018-11-02</v>
      </c>
      <c r="J945" s="46"/>
    </row>
    <row r="946" spans="1:10" ht="51">
      <c r="A946" s="51" t="s">
        <v>5</v>
      </c>
      <c r="B946" s="43" t="str">
        <f t="shared" si="71"/>
        <v>Pulsoksymetr</v>
      </c>
      <c r="C946" s="43" t="str">
        <f t="shared" si="72"/>
        <v>Rad 5</v>
      </c>
      <c r="D946" s="43" t="str">
        <f>"N30993 "</f>
        <v>N30993 </v>
      </c>
      <c r="E946" s="43" t="str">
        <f>"Oddz. Klin. Nefrologiczny"</f>
        <v>Oddz. Klin. Nefrologiczny</v>
      </c>
      <c r="F946" s="43">
        <v>2011</v>
      </c>
      <c r="G946" s="43" t="str">
        <f t="shared" si="73"/>
        <v>MASSIMO</v>
      </c>
      <c r="H946" s="43" t="str">
        <f t="shared" si="74"/>
        <v>12 mies.</v>
      </c>
      <c r="I946" s="2" t="s">
        <v>286</v>
      </c>
      <c r="J946" s="46"/>
    </row>
    <row r="947" spans="1:10" ht="51">
      <c r="A947" s="51" t="s">
        <v>6</v>
      </c>
      <c r="B947" s="43" t="str">
        <f t="shared" si="71"/>
        <v>Pulsoksymetr</v>
      </c>
      <c r="C947" s="43" t="str">
        <f t="shared" si="72"/>
        <v>Rad 5</v>
      </c>
      <c r="D947" s="43" t="str">
        <f>"N80029"</f>
        <v>N80029</v>
      </c>
      <c r="E947" s="43" t="str">
        <f>"Oddz. Klin. Neurochirurgiczny z P-oddz.IOM"</f>
        <v>Oddz. Klin. Neurochirurgiczny z P-oddz.IOM</v>
      </c>
      <c r="F947" s="43">
        <v>2014</v>
      </c>
      <c r="G947" s="43" t="str">
        <f t="shared" si="73"/>
        <v>MASSIMO</v>
      </c>
      <c r="H947" s="43" t="str">
        <f t="shared" si="74"/>
        <v>12 mies.</v>
      </c>
      <c r="I947" s="2" t="s">
        <v>286</v>
      </c>
      <c r="J947" s="46"/>
    </row>
    <row r="948" spans="1:10" ht="51">
      <c r="A948" s="51" t="s">
        <v>7</v>
      </c>
      <c r="B948" s="43" t="str">
        <f t="shared" si="71"/>
        <v>Pulsoksymetr</v>
      </c>
      <c r="C948" s="43" t="str">
        <f t="shared" si="72"/>
        <v>Rad 5</v>
      </c>
      <c r="D948" s="43" t="str">
        <f>"N80039"</f>
        <v>N80039</v>
      </c>
      <c r="E948" s="43" t="str">
        <f>"Oddz. Klin. Otolaryng. z P-oddz. Ot.Dziec."</f>
        <v>Oddz. Klin. Otolaryng. z P-oddz. Ot.Dziec.</v>
      </c>
      <c r="F948" s="43">
        <v>2014</v>
      </c>
      <c r="G948" s="43" t="str">
        <f t="shared" si="73"/>
        <v>MASSIMO</v>
      </c>
      <c r="H948" s="43" t="str">
        <f t="shared" si="74"/>
        <v>12 mies.</v>
      </c>
      <c r="I948" s="2" t="s">
        <v>286</v>
      </c>
      <c r="J948" s="46"/>
    </row>
    <row r="949" spans="1:10" ht="51">
      <c r="A949" s="51" t="s">
        <v>8</v>
      </c>
      <c r="B949" s="43" t="str">
        <f t="shared" si="71"/>
        <v>Pulsoksymetr</v>
      </c>
      <c r="C949" s="43" t="str">
        <f t="shared" si="72"/>
        <v>Rad 5</v>
      </c>
      <c r="D949" s="43" t="str">
        <f>"N80056"</f>
        <v>N80056</v>
      </c>
      <c r="E949" s="43" t="str">
        <f>"Oddz. Klin.Gastroent.Hepatologii,Ch.Metab"</f>
        <v>Oddz. Klin.Gastroent.Hepatologii,Ch.Metab</v>
      </c>
      <c r="F949" s="43">
        <v>2014</v>
      </c>
      <c r="G949" s="43" t="str">
        <f t="shared" si="73"/>
        <v>MASSIMO</v>
      </c>
      <c r="H949" s="43" t="str">
        <f t="shared" si="74"/>
        <v>12 mies.</v>
      </c>
      <c r="I949" s="2" t="s">
        <v>286</v>
      </c>
      <c r="J949" s="46"/>
    </row>
    <row r="950" spans="1:10" ht="36">
      <c r="A950" s="51" t="s">
        <v>9</v>
      </c>
      <c r="B950" s="43" t="str">
        <f t="shared" si="71"/>
        <v>Pulsoksymetr</v>
      </c>
      <c r="C950" s="43" t="str">
        <f t="shared" si="72"/>
        <v>Rad 5</v>
      </c>
      <c r="D950" s="43" t="str">
        <f>"N-95090"</f>
        <v>N-95090</v>
      </c>
      <c r="E950" s="43" t="s">
        <v>311</v>
      </c>
      <c r="F950" s="43">
        <v>2015</v>
      </c>
      <c r="G950" s="43" t="str">
        <f t="shared" si="73"/>
        <v>MASSIMO</v>
      </c>
      <c r="H950" s="43" t="str">
        <f t="shared" si="74"/>
        <v>12 mies.</v>
      </c>
      <c r="I950" s="43" t="str">
        <f>"2018-11-20"</f>
        <v>2018-11-20</v>
      </c>
      <c r="J950" s="46"/>
    </row>
    <row r="951" spans="1:10" ht="51">
      <c r="A951" s="51" t="s">
        <v>10</v>
      </c>
      <c r="B951" s="43" t="str">
        <f t="shared" si="71"/>
        <v>Pulsoksymetr</v>
      </c>
      <c r="C951" s="43" t="str">
        <f t="shared" si="72"/>
        <v>Rad 5</v>
      </c>
      <c r="D951" s="43" t="str">
        <f>"N-90527"</f>
        <v>N-90527</v>
      </c>
      <c r="E951" s="43" t="str">
        <f>"Oddział poprzeszczepowy (Przylądek Nadziei)"</f>
        <v>Oddział poprzeszczepowy (Przylądek Nadziei)</v>
      </c>
      <c r="F951" s="43">
        <v>2015</v>
      </c>
      <c r="G951" s="43" t="str">
        <f t="shared" si="73"/>
        <v>MASSIMO</v>
      </c>
      <c r="H951" s="43" t="str">
        <f t="shared" si="74"/>
        <v>12 mies.</v>
      </c>
      <c r="I951" s="2" t="s">
        <v>286</v>
      </c>
      <c r="J951" s="46"/>
    </row>
    <row r="952" spans="1:10" ht="36">
      <c r="A952" s="51" t="s">
        <v>11</v>
      </c>
      <c r="B952" s="43" t="str">
        <f t="shared" si="71"/>
        <v>Pulsoksymetr</v>
      </c>
      <c r="C952" s="43" t="str">
        <f t="shared" si="72"/>
        <v>Rad 5</v>
      </c>
      <c r="D952" s="43" t="str">
        <f>"N-90528"</f>
        <v>N-90528</v>
      </c>
      <c r="E952" s="43" t="str">
        <f>"Oddział poprzeszczepowy (Przylądek Nadziei)"</f>
        <v>Oddział poprzeszczepowy (Przylądek Nadziei)</v>
      </c>
      <c r="F952" s="43">
        <v>2015</v>
      </c>
      <c r="G952" s="43" t="str">
        <f t="shared" si="73"/>
        <v>MASSIMO</v>
      </c>
      <c r="H952" s="43" t="str">
        <f t="shared" si="74"/>
        <v>12 mies.</v>
      </c>
      <c r="I952" s="43" t="str">
        <f>"2018-11-20"</f>
        <v>2018-11-20</v>
      </c>
      <c r="J952" s="46"/>
    </row>
    <row r="953" spans="1:10" ht="51">
      <c r="A953" s="51" t="s">
        <v>12</v>
      </c>
      <c r="B953" s="43" t="str">
        <f t="shared" si="71"/>
        <v>Pulsoksymetr</v>
      </c>
      <c r="C953" s="43" t="str">
        <f t="shared" si="72"/>
        <v>Rad 5</v>
      </c>
      <c r="D953" s="43" t="str">
        <f>"N-90526"</f>
        <v>N-90526</v>
      </c>
      <c r="E953" s="43" t="str">
        <f>"Oddział poprzeszczepowy (Przylądek Nadziei)"</f>
        <v>Oddział poprzeszczepowy (Przylądek Nadziei)</v>
      </c>
      <c r="F953" s="43">
        <v>2015</v>
      </c>
      <c r="G953" s="43" t="str">
        <f t="shared" si="73"/>
        <v>MASSIMO</v>
      </c>
      <c r="H953" s="43" t="str">
        <f t="shared" si="74"/>
        <v>12 mies.</v>
      </c>
      <c r="I953" s="2" t="s">
        <v>286</v>
      </c>
      <c r="J953" s="46"/>
    </row>
    <row r="954" spans="1:10" ht="60">
      <c r="A954" s="51" t="s">
        <v>13</v>
      </c>
      <c r="B954" s="43" t="str">
        <f t="shared" si="71"/>
        <v>Pulsoksymetr</v>
      </c>
      <c r="C954" s="43" t="str">
        <f t="shared" si="72"/>
        <v>Rad 5</v>
      </c>
      <c r="D954" s="43" t="str">
        <f>"N-90525 - wypożyczony do Kl.Neonatologii"</f>
        <v>N-90525 - wypożyczony do Kl.Neonatologii</v>
      </c>
      <c r="E954" s="43" t="str">
        <f>"Pediatria (Przylądek Nadziei)"</f>
        <v>Pediatria (Przylądek Nadziei)</v>
      </c>
      <c r="F954" s="43">
        <v>2015</v>
      </c>
      <c r="G954" s="43" t="str">
        <f t="shared" si="73"/>
        <v>MASSIMO</v>
      </c>
      <c r="H954" s="43" t="str">
        <f t="shared" si="74"/>
        <v>12 mies.</v>
      </c>
      <c r="I954" s="2" t="s">
        <v>286</v>
      </c>
      <c r="J954" s="46"/>
    </row>
    <row r="955" spans="1:10" ht="24">
      <c r="A955" s="51" t="s">
        <v>14</v>
      </c>
      <c r="B955" s="43" t="str">
        <f t="shared" si="71"/>
        <v>Pulsoksymetr</v>
      </c>
      <c r="C955" s="43" t="str">
        <f t="shared" si="72"/>
        <v>Rad 5</v>
      </c>
      <c r="D955" s="43" t="str">
        <f>"N140436"</f>
        <v>N140436</v>
      </c>
      <c r="E955" s="43" t="str">
        <f>"Pracownia Rezonansu Magnetycznego"</f>
        <v>Pracownia Rezonansu Magnetycznego</v>
      </c>
      <c r="F955" s="43">
        <v>2017</v>
      </c>
      <c r="G955" s="43" t="str">
        <f t="shared" si="73"/>
        <v>MASSIMO</v>
      </c>
      <c r="H955" s="43" t="str">
        <f t="shared" si="74"/>
        <v>12 mies.</v>
      </c>
      <c r="I955" s="43" t="str">
        <f>"2019-01-08"</f>
        <v>2019-01-08</v>
      </c>
      <c r="J955" s="46"/>
    </row>
    <row r="956" spans="1:10" ht="51">
      <c r="A956" s="51" t="s">
        <v>15</v>
      </c>
      <c r="B956" s="43" t="str">
        <f t="shared" si="71"/>
        <v>Pulsoksymetr</v>
      </c>
      <c r="C956" s="43" t="str">
        <f t="shared" si="72"/>
        <v>Rad 5</v>
      </c>
      <c r="D956" s="43" t="str">
        <f>"N80066"</f>
        <v>N80066</v>
      </c>
      <c r="E956" s="43" t="str">
        <f>"Pracownia Tomografii Komputerowej"</f>
        <v>Pracownia Tomografii Komputerowej</v>
      </c>
      <c r="F956" s="43">
        <v>2014</v>
      </c>
      <c r="G956" s="43" t="str">
        <f t="shared" si="73"/>
        <v>MASSIMO</v>
      </c>
      <c r="H956" s="43" t="str">
        <f t="shared" si="74"/>
        <v>12 mies.</v>
      </c>
      <c r="I956" s="2" t="s">
        <v>286</v>
      </c>
      <c r="J956" s="46"/>
    </row>
    <row r="957" spans="1:10" ht="36">
      <c r="A957" s="51" t="s">
        <v>16</v>
      </c>
      <c r="B957" s="43" t="str">
        <f t="shared" si="71"/>
        <v>Pulsoksymetr</v>
      </c>
      <c r="C957" s="43" t="str">
        <f t="shared" si="72"/>
        <v>Rad 5</v>
      </c>
      <c r="D957" s="43" t="str">
        <f>"N-90538"</f>
        <v>N-90538</v>
      </c>
      <c r="E957" s="43" t="str">
        <f>"Przychodnia przykliniczna (Przylądek Nadziei)"</f>
        <v>Przychodnia przykliniczna (Przylądek Nadziei)</v>
      </c>
      <c r="F957" s="43">
        <v>2015</v>
      </c>
      <c r="G957" s="43" t="str">
        <f t="shared" si="73"/>
        <v>MASSIMO</v>
      </c>
      <c r="H957" s="43" t="str">
        <f t="shared" si="74"/>
        <v>12 mies.</v>
      </c>
      <c r="I957" s="43" t="str">
        <f>"2018-11-20"</f>
        <v>2018-11-20</v>
      </c>
      <c r="J957" s="46"/>
    </row>
    <row r="958" spans="1:10" ht="15">
      <c r="A958" s="51" t="s">
        <v>17</v>
      </c>
      <c r="B958" s="43" t="str">
        <f t="shared" si="71"/>
        <v>Pulsoksymetr</v>
      </c>
      <c r="C958" s="43" t="str">
        <f t="shared" si="72"/>
        <v>Rad 5</v>
      </c>
      <c r="D958" s="43" t="str">
        <f>"N30832 "</f>
        <v>N30832 </v>
      </c>
      <c r="E958" s="43" t="str">
        <f>"Stacja Dializ"</f>
        <v>Stacja Dializ</v>
      </c>
      <c r="F958" s="43">
        <v>2011</v>
      </c>
      <c r="G958" s="43" t="str">
        <f t="shared" si="73"/>
        <v>MASSIMO</v>
      </c>
      <c r="H958" s="43" t="str">
        <f t="shared" si="74"/>
        <v>12 mies.</v>
      </c>
      <c r="I958" s="43" t="str">
        <f>"2018-11-02"</f>
        <v>2018-11-02</v>
      </c>
      <c r="J958" s="46"/>
    </row>
    <row r="959" spans="1:10" ht="51">
      <c r="A959" s="51" t="s">
        <v>18</v>
      </c>
      <c r="B959" s="43" t="str">
        <f t="shared" si="71"/>
        <v>Pulsoksymetr</v>
      </c>
      <c r="C959" s="43" t="str">
        <f t="shared" si="72"/>
        <v>Rad 5</v>
      </c>
      <c r="D959" s="43" t="str">
        <f>"N30986 "</f>
        <v>N30986 </v>
      </c>
      <c r="E959" s="43" t="str">
        <f>"Stacja Dializ"</f>
        <v>Stacja Dializ</v>
      </c>
      <c r="F959" s="43">
        <v>2011</v>
      </c>
      <c r="G959" s="43" t="str">
        <f t="shared" si="73"/>
        <v>MASSIMO</v>
      </c>
      <c r="H959" s="43" t="str">
        <f t="shared" si="74"/>
        <v>12 mies.</v>
      </c>
      <c r="I959" s="2" t="s">
        <v>286</v>
      </c>
      <c r="J959" s="46"/>
    </row>
    <row r="960" spans="1:10" ht="51">
      <c r="A960" s="51" t="s">
        <v>19</v>
      </c>
      <c r="B960" s="43" t="str">
        <f t="shared" si="71"/>
        <v>Pulsoksymetr</v>
      </c>
      <c r="C960" s="43" t="str">
        <f t="shared" si="72"/>
        <v>Rad 5</v>
      </c>
      <c r="D960" s="43" t="str">
        <f>"N-90540"</f>
        <v>N-90540</v>
      </c>
      <c r="E960" s="43" t="str">
        <f>"Szpital dzienny (Przylądek Nadziei)"</f>
        <v>Szpital dzienny (Przylądek Nadziei)</v>
      </c>
      <c r="F960" s="43">
        <v>2015</v>
      </c>
      <c r="G960" s="43" t="str">
        <f t="shared" si="73"/>
        <v>MASSIMO</v>
      </c>
      <c r="H960" s="43" t="str">
        <f t="shared" si="74"/>
        <v>12 mies.</v>
      </c>
      <c r="I960" s="2" t="s">
        <v>286</v>
      </c>
      <c r="J960" s="46"/>
    </row>
    <row r="961" spans="1:10" ht="51">
      <c r="A961" s="51" t="s">
        <v>20</v>
      </c>
      <c r="B961" s="43" t="str">
        <f t="shared" si="71"/>
        <v>Pulsoksymetr</v>
      </c>
      <c r="C961" s="43" t="str">
        <f t="shared" si="72"/>
        <v>Rad 5</v>
      </c>
      <c r="D961" s="43" t="str">
        <f>"N-90543"</f>
        <v>N-90543</v>
      </c>
      <c r="E961" s="43" t="str">
        <f>"Wzmożona opieka (Przylądek Nadziei)"</f>
        <v>Wzmożona opieka (Przylądek Nadziei)</v>
      </c>
      <c r="F961" s="43">
        <v>2015</v>
      </c>
      <c r="G961" s="43" t="str">
        <f t="shared" si="73"/>
        <v>MASSIMO</v>
      </c>
      <c r="H961" s="43" t="str">
        <f t="shared" si="74"/>
        <v>12 mies.</v>
      </c>
      <c r="I961" s="2" t="s">
        <v>286</v>
      </c>
      <c r="J961" s="46"/>
    </row>
    <row r="962" spans="1:10" ht="36">
      <c r="A962" s="51" t="s">
        <v>21</v>
      </c>
      <c r="B962" s="43" t="str">
        <f>"Pulsoksymetr transportowy ze stacją dokującą"</f>
        <v>Pulsoksymetr transportowy ze stacją dokującą</v>
      </c>
      <c r="C962" s="43" t="str">
        <f>"Radical 7"</f>
        <v>Radical 7</v>
      </c>
      <c r="D962" s="43" t="str">
        <f>"249214/68308"</f>
        <v>249214/68308</v>
      </c>
      <c r="E962" s="43" t="str">
        <f>"Dział Anestezjologii"</f>
        <v>Dział Anestezjologii</v>
      </c>
      <c r="F962" s="43">
        <v>2015</v>
      </c>
      <c r="G962" s="43" t="str">
        <f t="shared" si="73"/>
        <v>MASSIMO</v>
      </c>
      <c r="H962" s="43" t="str">
        <f t="shared" si="74"/>
        <v>12 mies.</v>
      </c>
      <c r="I962" s="43" t="str">
        <f>"2018-12-20"</f>
        <v>2018-12-20</v>
      </c>
      <c r="J962" s="46"/>
    </row>
    <row r="963" spans="1:10" ht="36">
      <c r="A963" s="51" t="s">
        <v>22</v>
      </c>
      <c r="B963" s="43" t="str">
        <f>"Pulsoksymetr transportowy ze stacją dokującą"</f>
        <v>Pulsoksymetr transportowy ze stacją dokującą</v>
      </c>
      <c r="C963" s="43" t="str">
        <f>"Radical 7"</f>
        <v>Radical 7</v>
      </c>
      <c r="D963" s="43" t="str">
        <f>"249248/68388"</f>
        <v>249248/68388</v>
      </c>
      <c r="E963" s="43" t="str">
        <f>"Dział Anestezjologii"</f>
        <v>Dział Anestezjologii</v>
      </c>
      <c r="F963" s="43">
        <v>2015</v>
      </c>
      <c r="G963" s="43" t="str">
        <f t="shared" si="73"/>
        <v>MASSIMO</v>
      </c>
      <c r="H963" s="43" t="str">
        <f t="shared" si="74"/>
        <v>12 mies.</v>
      </c>
      <c r="I963" s="43" t="str">
        <f>"2018-12-20"</f>
        <v>2018-12-20</v>
      </c>
      <c r="J963" s="46"/>
    </row>
    <row r="964" spans="1:10" ht="36">
      <c r="A964" s="51" t="s">
        <v>23</v>
      </c>
      <c r="B964" s="43" t="str">
        <f>"Pulsoksymetr transportowy ze stacją dokującą"</f>
        <v>Pulsoksymetr transportowy ze stacją dokującą</v>
      </c>
      <c r="C964" s="43" t="str">
        <f>"Radical 7"</f>
        <v>Radical 7</v>
      </c>
      <c r="D964" s="43" t="str">
        <f>"249283/67869"</f>
        <v>249283/67869</v>
      </c>
      <c r="E964" s="43" t="str">
        <f>"Dział Anestezjologii"</f>
        <v>Dział Anestezjologii</v>
      </c>
      <c r="F964" s="43">
        <v>2015</v>
      </c>
      <c r="G964" s="43" t="str">
        <f t="shared" si="73"/>
        <v>MASSIMO</v>
      </c>
      <c r="H964" s="43" t="str">
        <f t="shared" si="74"/>
        <v>12 mies.</v>
      </c>
      <c r="I964" s="43" t="str">
        <f>"2018-12-20"</f>
        <v>2018-12-20</v>
      </c>
      <c r="J964" s="46"/>
    </row>
    <row r="965" spans="1:10" ht="36">
      <c r="A965" s="51" t="s">
        <v>24</v>
      </c>
      <c r="B965" s="43" t="str">
        <f>"Pulsoksymetr transportowy ze stacją dokującą"</f>
        <v>Pulsoksymetr transportowy ze stacją dokującą</v>
      </c>
      <c r="C965" s="43" t="str">
        <f>"Radical 7"</f>
        <v>Radical 7</v>
      </c>
      <c r="D965" s="43" t="str">
        <f>"1000074079/67974"</f>
        <v>1000074079/67974</v>
      </c>
      <c r="E965" s="43" t="str">
        <f>"Dział Anestezjologii"</f>
        <v>Dział Anestezjologii</v>
      </c>
      <c r="F965" s="43">
        <v>2015</v>
      </c>
      <c r="G965" s="43" t="str">
        <f t="shared" si="73"/>
        <v>MASSIMO</v>
      </c>
      <c r="H965" s="43" t="str">
        <f t="shared" si="74"/>
        <v>12 mies.</v>
      </c>
      <c r="I965" s="43" t="str">
        <f>"2018-12-20"</f>
        <v>2018-12-20</v>
      </c>
      <c r="J965" s="46"/>
    </row>
    <row r="966" spans="1:10" ht="51">
      <c r="A966" s="51" t="s">
        <v>25</v>
      </c>
      <c r="B966" s="43" t="str">
        <f>"Pulsoksymetr z pomiarem hemoglobiny"</f>
        <v>Pulsoksymetr z pomiarem hemoglobiny</v>
      </c>
      <c r="C966" s="43" t="str">
        <f>"Radical 7 - ROOT"</f>
        <v>Radical 7 - ROOT</v>
      </c>
      <c r="D966" s="43" t="str">
        <f>"1000058073/2000008034"</f>
        <v>1000058073/2000008034</v>
      </c>
      <c r="E966" s="43" t="str">
        <f>"Oddział poprzeszczepowy (Przylądek Nadziei)"</f>
        <v>Oddział poprzeszczepowy (Przylądek Nadziei)</v>
      </c>
      <c r="F966" s="43">
        <v>2015</v>
      </c>
      <c r="G966" s="43" t="str">
        <f t="shared" si="73"/>
        <v>MASSIMO</v>
      </c>
      <c r="H966" s="43" t="str">
        <f t="shared" si="74"/>
        <v>12 mies.</v>
      </c>
      <c r="I966" s="2" t="s">
        <v>286</v>
      </c>
      <c r="J966" s="46"/>
    </row>
    <row r="967" spans="1:10" ht="36">
      <c r="A967" s="51" t="s">
        <v>26</v>
      </c>
      <c r="B967" s="43" t="str">
        <f>"Pulsoksymetr z pomiarem hemoglobiny"</f>
        <v>Pulsoksymetr z pomiarem hemoglobiny</v>
      </c>
      <c r="C967" s="43" t="str">
        <f>"Radical 7 - ROOT"</f>
        <v>Radical 7 - ROOT</v>
      </c>
      <c r="D967" s="43" t="str">
        <f>"1000056483/2000007500"</f>
        <v>1000056483/2000007500</v>
      </c>
      <c r="E967" s="43" t="str">
        <f>"Oddział poprzeszczepowy (Przylądek Nadziei)"</f>
        <v>Oddział poprzeszczepowy (Przylądek Nadziei)</v>
      </c>
      <c r="F967" s="43">
        <v>2015</v>
      </c>
      <c r="G967" s="43" t="str">
        <f t="shared" si="73"/>
        <v>MASSIMO</v>
      </c>
      <c r="H967" s="43" t="str">
        <f t="shared" si="74"/>
        <v>12 mies.</v>
      </c>
      <c r="I967" s="43" t="str">
        <f>"2018-11-20"</f>
        <v>2018-11-20</v>
      </c>
      <c r="J967" s="46"/>
    </row>
    <row r="968" spans="1:10" ht="51">
      <c r="A968" s="51" t="s">
        <v>27</v>
      </c>
      <c r="B968" s="43" t="str">
        <f>"Pulsoksymetr z pomiarem hemoglobiny"</f>
        <v>Pulsoksymetr z pomiarem hemoglobiny</v>
      </c>
      <c r="C968" s="43" t="str">
        <f>"Radical 7 - ROOT"</f>
        <v>Radical 7 - ROOT</v>
      </c>
      <c r="D968" s="43" t="str">
        <f>"1000057935/2000007501"</f>
        <v>1000057935/2000007501</v>
      </c>
      <c r="E968" s="43" t="str">
        <f>"Szpital dzienny (Przylądek Nadziei)"</f>
        <v>Szpital dzienny (Przylądek Nadziei)</v>
      </c>
      <c r="F968" s="43">
        <v>2015</v>
      </c>
      <c r="G968" s="43" t="str">
        <f t="shared" si="73"/>
        <v>MASSIMO</v>
      </c>
      <c r="H968" s="43" t="str">
        <f t="shared" si="74"/>
        <v>12 mies.</v>
      </c>
      <c r="I968" s="2" t="s">
        <v>286</v>
      </c>
      <c r="J968" s="46"/>
    </row>
    <row r="969" spans="1:10" ht="51">
      <c r="A969" s="51" t="s">
        <v>28</v>
      </c>
      <c r="B969" s="43" t="str">
        <f>"Pulsoksymetr z pomiarem hemoglobiny"</f>
        <v>Pulsoksymetr z pomiarem hemoglobiny</v>
      </c>
      <c r="C969" s="43" t="str">
        <f>"Radical 7 - ROOT"</f>
        <v>Radical 7 - ROOT</v>
      </c>
      <c r="D969" s="43" t="str">
        <f>"1000056462/2000007956"</f>
        <v>1000056462/2000007956</v>
      </c>
      <c r="E969" s="43" t="str">
        <f>"Szpital dzienny (Przylądek Nadziei)"</f>
        <v>Szpital dzienny (Przylądek Nadziei)</v>
      </c>
      <c r="F969" s="43">
        <v>2015</v>
      </c>
      <c r="G969" s="43" t="str">
        <f t="shared" si="73"/>
        <v>MASSIMO</v>
      </c>
      <c r="H969" s="43" t="str">
        <f t="shared" si="74"/>
        <v>12 mies.</v>
      </c>
      <c r="I969" s="2" t="s">
        <v>286</v>
      </c>
      <c r="J969" s="46"/>
    </row>
    <row r="970" spans="1:10" ht="36">
      <c r="A970" s="51" t="s">
        <v>29</v>
      </c>
      <c r="B970" s="43" t="str">
        <f>"Pulsoksymetr z pomiarem hemoglobiny"</f>
        <v>Pulsoksymetr z pomiarem hemoglobiny</v>
      </c>
      <c r="C970" s="43" t="str">
        <f>"Radical 7 - ROOT"</f>
        <v>Radical 7 - ROOT</v>
      </c>
      <c r="D970" s="43" t="str">
        <f>"1000058129"</f>
        <v>1000058129</v>
      </c>
      <c r="E970" s="43" t="str">
        <f>"Szpital dzienny (Przylądek Nadziei)"</f>
        <v>Szpital dzienny (Przylądek Nadziei)</v>
      </c>
      <c r="F970" s="43">
        <v>2015</v>
      </c>
      <c r="G970" s="43" t="str">
        <f t="shared" si="73"/>
        <v>MASSIMO</v>
      </c>
      <c r="H970" s="43" t="str">
        <f t="shared" si="74"/>
        <v>12 mies.</v>
      </c>
      <c r="I970" s="43" t="str">
        <f>"2018-11-20"</f>
        <v>2018-11-20</v>
      </c>
      <c r="J970" s="46"/>
    </row>
    <row r="971" spans="2:10" ht="15">
      <c r="B971" s="46"/>
      <c r="C971" s="46"/>
      <c r="D971" s="46"/>
      <c r="E971" s="46"/>
      <c r="F971" s="46"/>
      <c r="G971" s="46"/>
      <c r="H971" s="46"/>
      <c r="I971" s="46"/>
      <c r="J971" s="46"/>
    </row>
    <row r="972" spans="2:10" ht="15">
      <c r="B972" s="64" t="s">
        <v>114</v>
      </c>
      <c r="C972" s="64"/>
      <c r="G972" s="64" t="s">
        <v>115</v>
      </c>
      <c r="H972" s="64"/>
      <c r="I972" s="64"/>
      <c r="J972" s="46"/>
    </row>
    <row r="973" spans="2:10" ht="15">
      <c r="B973" s="28"/>
      <c r="C973" s="28"/>
      <c r="G973" s="28"/>
      <c r="H973" s="28"/>
      <c r="I973" s="28"/>
      <c r="J973" s="46"/>
    </row>
    <row r="974" spans="2:10" ht="15">
      <c r="B974" s="28"/>
      <c r="C974" s="28"/>
      <c r="G974" s="28"/>
      <c r="H974" s="28"/>
      <c r="I974" s="28"/>
      <c r="J974" s="46"/>
    </row>
    <row r="975" spans="2:10" ht="15">
      <c r="B975" s="28"/>
      <c r="C975" s="28"/>
      <c r="G975" s="28"/>
      <c r="H975" s="28"/>
      <c r="I975" s="28"/>
      <c r="J975" s="46"/>
    </row>
    <row r="976" spans="2:10" ht="15">
      <c r="B976" s="46"/>
      <c r="C976" s="46"/>
      <c r="D976" s="46"/>
      <c r="E976" s="46"/>
      <c r="F976" s="46"/>
      <c r="G976" s="46"/>
      <c r="H976" s="46"/>
      <c r="I976" s="46"/>
      <c r="J976" s="46"/>
    </row>
    <row r="977" spans="1:10" ht="15">
      <c r="A977" s="65" t="s">
        <v>316</v>
      </c>
      <c r="B977" s="65"/>
      <c r="C977" s="65"/>
      <c r="D977" s="65"/>
      <c r="E977" s="65"/>
      <c r="F977" s="65"/>
      <c r="G977" s="65"/>
      <c r="H977" s="65"/>
      <c r="I977" s="65"/>
      <c r="J977" s="46"/>
    </row>
    <row r="979" spans="1:10" ht="48">
      <c r="A979" s="42" t="s">
        <v>1</v>
      </c>
      <c r="B979" s="43" t="str">
        <f>"Nazwa urządzenia"</f>
        <v>Nazwa urządzenia</v>
      </c>
      <c r="C979" s="43" t="str">
        <f>"Typ"</f>
        <v>Typ</v>
      </c>
      <c r="D979" s="43" t="str">
        <f>"Nr Seryjny"</f>
        <v>Nr Seryjny</v>
      </c>
      <c r="E979" s="43" t="str">
        <f>"Jednostka Organizacyjna"</f>
        <v>Jednostka Organizacyjna</v>
      </c>
      <c r="F979" s="43" t="str">
        <f>"Rok Produkcji"</f>
        <v>Rok Produkcji</v>
      </c>
      <c r="G979" s="43" t="str">
        <f>"Producent"</f>
        <v>Producent</v>
      </c>
      <c r="H979" s="43" t="str">
        <f>"Częst. przeglądu"</f>
        <v>Częst. przeglądu</v>
      </c>
      <c r="I979" s="43" t="s">
        <v>117</v>
      </c>
      <c r="J979" s="46"/>
    </row>
    <row r="980" spans="1:10" ht="48">
      <c r="A980" s="51" t="s">
        <v>2</v>
      </c>
      <c r="B980" s="43" t="str">
        <f>"Pulsoksymetr"</f>
        <v>Pulsoksymetr</v>
      </c>
      <c r="C980" s="43" t="str">
        <f>"LIBRA PN1000N nr kat. 10005941"</f>
        <v>LIBRA PN1000N nr kat. 10005941</v>
      </c>
      <c r="D980" s="43" t="str">
        <f>"MBB1602575"</f>
        <v>MBB1602575</v>
      </c>
      <c r="E980" s="43" t="str">
        <f>"Oddz.Klin. Neonatologiczny z Oddz. ITN"</f>
        <v>Oddz.Klin. Neonatologiczny z Oddz. ITN</v>
      </c>
      <c r="F980" s="43">
        <v>2016</v>
      </c>
      <c r="G980" s="43" t="str">
        <f>"COVIDIEN"</f>
        <v>COVIDIEN</v>
      </c>
      <c r="H980" s="43" t="str">
        <f>"12 mies."</f>
        <v>12 mies.</v>
      </c>
      <c r="I980" s="43" t="str">
        <f>"2019-07-26"</f>
        <v>2019-07-26</v>
      </c>
      <c r="J980" s="46"/>
    </row>
    <row r="981" spans="1:10" ht="48">
      <c r="A981" s="51" t="s">
        <v>3</v>
      </c>
      <c r="B981" s="43" t="str">
        <f>"Pulsoksymetr"</f>
        <v>Pulsoksymetr</v>
      </c>
      <c r="C981" s="43" t="str">
        <f>"LIBRA PN1000N nr kat. 10005941"</f>
        <v>LIBRA PN1000N nr kat. 10005941</v>
      </c>
      <c r="D981" s="43" t="str">
        <f>"MBB1602048"</f>
        <v>MBB1602048</v>
      </c>
      <c r="E981" s="43" t="str">
        <f>"Oddz.Klin. Neonatologiczny z Oddz. ITN"</f>
        <v>Oddz.Klin. Neonatologiczny z Oddz. ITN</v>
      </c>
      <c r="F981" s="43">
        <v>2016</v>
      </c>
      <c r="G981" s="43" t="str">
        <f>"COVIDIEN"</f>
        <v>COVIDIEN</v>
      </c>
      <c r="H981" s="43" t="str">
        <f>"12 mies."</f>
        <v>12 mies.</v>
      </c>
      <c r="I981" s="43" t="str">
        <f>"2019-07-26"</f>
        <v>2019-07-26</v>
      </c>
      <c r="J981" s="46"/>
    </row>
    <row r="983" spans="2:9" ht="15">
      <c r="B983" s="64" t="s">
        <v>114</v>
      </c>
      <c r="C983" s="64"/>
      <c r="G983" s="64" t="s">
        <v>115</v>
      </c>
      <c r="H983" s="64"/>
      <c r="I983" s="64"/>
    </row>
  </sheetData>
  <sheetProtection/>
  <mergeCells count="268">
    <mergeCell ref="B430:C430"/>
    <mergeCell ref="G430:I430"/>
    <mergeCell ref="A424:A428"/>
    <mergeCell ref="F424:F428"/>
    <mergeCell ref="G424:G428"/>
    <mergeCell ref="H424:H428"/>
    <mergeCell ref="E424:E428"/>
    <mergeCell ref="A977:I977"/>
    <mergeCell ref="B983:C983"/>
    <mergeCell ref="G983:I983"/>
    <mergeCell ref="A883:I883"/>
    <mergeCell ref="B899:C899"/>
    <mergeCell ref="G899:I899"/>
    <mergeCell ref="A904:I904"/>
    <mergeCell ref="B915:C915"/>
    <mergeCell ref="G915:I915"/>
    <mergeCell ref="A920:I920"/>
    <mergeCell ref="B935:C935"/>
    <mergeCell ref="G935:I935"/>
    <mergeCell ref="A940:I940"/>
    <mergeCell ref="B972:C972"/>
    <mergeCell ref="G972:I972"/>
    <mergeCell ref="G388:G399"/>
    <mergeCell ref="H388:H399"/>
    <mergeCell ref="I388:I399"/>
    <mergeCell ref="E1:I1"/>
    <mergeCell ref="A421:A423"/>
    <mergeCell ref="A388:A399"/>
    <mergeCell ref="E388:E399"/>
    <mergeCell ref="F388:F399"/>
    <mergeCell ref="A418:I418"/>
    <mergeCell ref="F421:F423"/>
    <mergeCell ref="G421:G423"/>
    <mergeCell ref="H421:H423"/>
    <mergeCell ref="E421:E423"/>
    <mergeCell ref="I294:I300"/>
    <mergeCell ref="A301:A307"/>
    <mergeCell ref="H308:H313"/>
    <mergeCell ref="E308:E313"/>
    <mergeCell ref="F308:F313"/>
    <mergeCell ref="G308:G313"/>
    <mergeCell ref="A308:A313"/>
    <mergeCell ref="E301:E307"/>
    <mergeCell ref="F301:F307"/>
    <mergeCell ref="G301:G307"/>
    <mergeCell ref="A265:I265"/>
    <mergeCell ref="A251:A255"/>
    <mergeCell ref="E251:E255"/>
    <mergeCell ref="I251:I255"/>
    <mergeCell ref="H251:H255"/>
    <mergeCell ref="A256:A258"/>
    <mergeCell ref="I256:I258"/>
    <mergeCell ref="H256:H258"/>
    <mergeCell ref="E256:E258"/>
    <mergeCell ref="A248:A250"/>
    <mergeCell ref="I248:I250"/>
    <mergeCell ref="H248:H250"/>
    <mergeCell ref="E248:E250"/>
    <mergeCell ref="A245:A247"/>
    <mergeCell ref="H245:H247"/>
    <mergeCell ref="I245:I247"/>
    <mergeCell ref="E245:E247"/>
    <mergeCell ref="A242:A244"/>
    <mergeCell ref="E242:E244"/>
    <mergeCell ref="H242:H244"/>
    <mergeCell ref="I242:I244"/>
    <mergeCell ref="A234:A236"/>
    <mergeCell ref="A237:A241"/>
    <mergeCell ref="E237:E241"/>
    <mergeCell ref="H237:H241"/>
    <mergeCell ref="A197:I197"/>
    <mergeCell ref="A204:I204"/>
    <mergeCell ref="A220:I220"/>
    <mergeCell ref="A231:I231"/>
    <mergeCell ref="B192:C192"/>
    <mergeCell ref="G192:I192"/>
    <mergeCell ref="A122:I122"/>
    <mergeCell ref="A147:I147"/>
    <mergeCell ref="A159:I159"/>
    <mergeCell ref="A172:I172"/>
    <mergeCell ref="A185:I185"/>
    <mergeCell ref="B167:C167"/>
    <mergeCell ref="G167:I167"/>
    <mergeCell ref="B180:C180"/>
    <mergeCell ref="G180:I180"/>
    <mergeCell ref="B145:C145"/>
    <mergeCell ref="G145:I145"/>
    <mergeCell ref="B154:C154"/>
    <mergeCell ref="G154:I154"/>
    <mergeCell ref="B110:C110"/>
    <mergeCell ref="G110:I110"/>
    <mergeCell ref="B117:C117"/>
    <mergeCell ref="G117:I117"/>
    <mergeCell ref="H267:H273"/>
    <mergeCell ref="I288:I293"/>
    <mergeCell ref="B227:C227"/>
    <mergeCell ref="H227:I227"/>
    <mergeCell ref="E234:E236"/>
    <mergeCell ref="H234:H236"/>
    <mergeCell ref="I234:I236"/>
    <mergeCell ref="I237:I241"/>
    <mergeCell ref="B260:C260"/>
    <mergeCell ref="G260:I260"/>
    <mergeCell ref="A267:A273"/>
    <mergeCell ref="E267:E273"/>
    <mergeCell ref="F267:F273"/>
    <mergeCell ref="G267:G273"/>
    <mergeCell ref="A294:A300"/>
    <mergeCell ref="I267:I273"/>
    <mergeCell ref="B281:C281"/>
    <mergeCell ref="G281:I281"/>
    <mergeCell ref="A286:I286"/>
    <mergeCell ref="G288:G293"/>
    <mergeCell ref="H288:H293"/>
    <mergeCell ref="F288:F293"/>
    <mergeCell ref="E288:E293"/>
    <mergeCell ref="A288:A293"/>
    <mergeCell ref="G294:G300"/>
    <mergeCell ref="H294:H300"/>
    <mergeCell ref="F294:F300"/>
    <mergeCell ref="E294:E300"/>
    <mergeCell ref="B202:C202"/>
    <mergeCell ref="G202:I202"/>
    <mergeCell ref="B215:C215"/>
    <mergeCell ref="G215:I215"/>
    <mergeCell ref="B344:C344"/>
    <mergeCell ref="G344:I344"/>
    <mergeCell ref="A314:A320"/>
    <mergeCell ref="E321:E327"/>
    <mergeCell ref="F321:F327"/>
    <mergeCell ref="G321:G327"/>
    <mergeCell ref="H321:H327"/>
    <mergeCell ref="A321:A327"/>
    <mergeCell ref="E314:E320"/>
    <mergeCell ref="F314:F320"/>
    <mergeCell ref="H301:H307"/>
    <mergeCell ref="B330:C330"/>
    <mergeCell ref="G330:I330"/>
    <mergeCell ref="A334:I334"/>
    <mergeCell ref="H314:H320"/>
    <mergeCell ref="G314:G320"/>
    <mergeCell ref="I301:I307"/>
    <mergeCell ref="I308:I313"/>
    <mergeCell ref="I314:I320"/>
    <mergeCell ref="I321:I327"/>
    <mergeCell ref="A349:I349"/>
    <mergeCell ref="B358:C358"/>
    <mergeCell ref="G358:I358"/>
    <mergeCell ref="B370:C370"/>
    <mergeCell ref="G370:I370"/>
    <mergeCell ref="A363:I363"/>
    <mergeCell ref="A446:I446"/>
    <mergeCell ref="A375:I375"/>
    <mergeCell ref="B380:C380"/>
    <mergeCell ref="G380:I380"/>
    <mergeCell ref="A385:I385"/>
    <mergeCell ref="B401:C401"/>
    <mergeCell ref="G401:I401"/>
    <mergeCell ref="A406:I406"/>
    <mergeCell ref="B413:C413"/>
    <mergeCell ref="G413:I413"/>
    <mergeCell ref="I448:I449"/>
    <mergeCell ref="F448:F449"/>
    <mergeCell ref="G448:G449"/>
    <mergeCell ref="H448:H449"/>
    <mergeCell ref="I498:I499"/>
    <mergeCell ref="A496:I496"/>
    <mergeCell ref="A435:I435"/>
    <mergeCell ref="B441:C441"/>
    <mergeCell ref="G441:I441"/>
    <mergeCell ref="A448:A449"/>
    <mergeCell ref="B448:B449"/>
    <mergeCell ref="C448:C449"/>
    <mergeCell ref="D448:D449"/>
    <mergeCell ref="E448:E449"/>
    <mergeCell ref="B491:C491"/>
    <mergeCell ref="G491:I491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B581:C581"/>
    <mergeCell ref="G581:I581"/>
    <mergeCell ref="A585:I585"/>
    <mergeCell ref="A599:I599"/>
    <mergeCell ref="A522:I522"/>
    <mergeCell ref="B562:C562"/>
    <mergeCell ref="G562:I562"/>
    <mergeCell ref="A567:I567"/>
    <mergeCell ref="B502:C502"/>
    <mergeCell ref="G502:I502"/>
    <mergeCell ref="A507:I507"/>
    <mergeCell ref="B517:C517"/>
    <mergeCell ref="G517:I517"/>
    <mergeCell ref="B695:C695"/>
    <mergeCell ref="G695:I695"/>
    <mergeCell ref="B594:C594"/>
    <mergeCell ref="G594:I594"/>
    <mergeCell ref="B606:C606"/>
    <mergeCell ref="G606:I606"/>
    <mergeCell ref="A678:I678"/>
    <mergeCell ref="B685:C685"/>
    <mergeCell ref="G685:I685"/>
    <mergeCell ref="A689:I689"/>
    <mergeCell ref="A667:I667"/>
    <mergeCell ref="B662:C662"/>
    <mergeCell ref="G662:I662"/>
    <mergeCell ref="B673:C673"/>
    <mergeCell ref="G673:I673"/>
    <mergeCell ref="A645:I645"/>
    <mergeCell ref="B651:C651"/>
    <mergeCell ref="G651:I651"/>
    <mergeCell ref="A656:I656"/>
    <mergeCell ref="A700:I700"/>
    <mergeCell ref="A711:I711"/>
    <mergeCell ref="B706:C706"/>
    <mergeCell ref="G706:I706"/>
    <mergeCell ref="A773:I773"/>
    <mergeCell ref="A611:I611"/>
    <mergeCell ref="B617:C617"/>
    <mergeCell ref="G617:I617"/>
    <mergeCell ref="A622:I622"/>
    <mergeCell ref="B628:C628"/>
    <mergeCell ref="G628:I628"/>
    <mergeCell ref="A633:I633"/>
    <mergeCell ref="B640:C640"/>
    <mergeCell ref="G640:I640"/>
    <mergeCell ref="B788:C788"/>
    <mergeCell ref="G788:I788"/>
    <mergeCell ref="B721:C721"/>
    <mergeCell ref="G721:I721"/>
    <mergeCell ref="A726:I726"/>
    <mergeCell ref="B731:C731"/>
    <mergeCell ref="G731:I731"/>
    <mergeCell ref="A736:I736"/>
    <mergeCell ref="B768:C768"/>
    <mergeCell ref="G768:I768"/>
    <mergeCell ref="B808:C808"/>
    <mergeCell ref="G808:I808"/>
    <mergeCell ref="A813:I813"/>
    <mergeCell ref="B819:C819"/>
    <mergeCell ref="G819:I819"/>
    <mergeCell ref="A793:I793"/>
    <mergeCell ref="B798:C798"/>
    <mergeCell ref="G798:I798"/>
    <mergeCell ref="A803:I803"/>
    <mergeCell ref="A873:I873"/>
    <mergeCell ref="A824:I824"/>
    <mergeCell ref="B829:C829"/>
    <mergeCell ref="G829:I829"/>
    <mergeCell ref="A834:I834"/>
    <mergeCell ref="B839:C839"/>
    <mergeCell ref="G839:I839"/>
    <mergeCell ref="A844:I844"/>
    <mergeCell ref="B878:C878"/>
    <mergeCell ref="G878:I878"/>
    <mergeCell ref="B849:C849"/>
    <mergeCell ref="G849:I849"/>
    <mergeCell ref="A854:I854"/>
    <mergeCell ref="B859:C859"/>
    <mergeCell ref="G859:I859"/>
    <mergeCell ref="A864:I864"/>
    <mergeCell ref="B869:C869"/>
    <mergeCell ref="G869:I869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3:O24"/>
  <sheetViews>
    <sheetView zoomScalePageLayoutView="0" workbookViewId="0" topLeftCell="A1">
      <selection activeCell="R9" sqref="R9"/>
    </sheetView>
  </sheetViews>
  <sheetFormatPr defaultColWidth="9.140625" defaultRowHeight="15"/>
  <cols>
    <col min="1" max="1" width="16.140625" style="0" customWidth="1"/>
    <col min="4" max="4" width="14.421875" style="0" customWidth="1"/>
    <col min="5" max="5" width="9.8515625" style="0" customWidth="1"/>
    <col min="6" max="6" width="13.57421875" style="0" customWidth="1"/>
    <col min="7" max="7" width="15.00390625" style="0" customWidth="1"/>
    <col min="8" max="8" width="20.421875" style="0" customWidth="1"/>
    <col min="9" max="9" width="17.140625" style="0" customWidth="1"/>
  </cols>
  <sheetData>
    <row r="1" ht="75.75" customHeight="1"/>
    <row r="3" ht="71.25" customHeight="1"/>
    <row r="9" ht="53.25" customHeight="1"/>
    <row r="10" ht="23.25" customHeight="1"/>
    <row r="16" ht="60.75" customHeight="1"/>
    <row r="17" ht="23.25" customHeight="1"/>
    <row r="23" ht="15">
      <c r="O23" s="25"/>
    </row>
    <row r="24" ht="15">
      <c r="O24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2018-08-14T10:32:58Z</dcterms:modified>
  <cp:category/>
  <cp:version/>
  <cp:contentType/>
  <cp:contentStatus/>
</cp:coreProperties>
</file>